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rohrig.marc\Desktop\Excel\"/>
    </mc:Choice>
  </mc:AlternateContent>
  <xr:revisionPtr revIDLastSave="0" documentId="8_{7226A42E-BAD1-439D-BA00-4C50C8140098}" xr6:coauthVersionLast="47" xr6:coauthVersionMax="47" xr10:uidLastSave="{00000000-0000-0000-0000-000000000000}"/>
  <workbookProtection workbookAlgorithmName="SHA-512" workbookHashValue="3eCWJfLb3Bwc+0FLiYzntKkOuvilL8mcYob4l3wkJ69GKFFOsgvGN12q3ycyBzJZDzW7bYmeCVvgEqCqV5iM9A==" workbookSaltValue="7JAuDUxjW09irasvPHF4WQ==" workbookSpinCount="100000" lockStructure="1"/>
  <bookViews>
    <workbookView xWindow="-120" yWindow="-120" windowWidth="29040" windowHeight="15720" xr2:uid="{00000000-000D-0000-FFFF-FFFF00000000}"/>
  </bookViews>
  <sheets>
    <sheet name="ISO 1999" sheetId="1" r:id="rId1"/>
    <sheet name="Erläuterungen zur ISO 1999" sheetId="4" r:id="rId2"/>
    <sheet name="H (alterbegleitend)" sheetId="2" state="hidden" r:id="rId3"/>
    <sheet name="N (durch Lärm)" sheetId="3" state="hidden" r:id="rId4"/>
  </sheets>
  <definedNames>
    <definedName name="MF">'H (alterbegleitend)'!$H$26:$I$26</definedName>
    <definedName name="Perzentil">'H (alterbegleitend)'!$A$39:$A$57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3" l="1"/>
  <c r="I34" i="3"/>
  <c r="I33" i="3"/>
  <c r="I32" i="3"/>
  <c r="I30" i="3"/>
  <c r="I29" i="3"/>
  <c r="H29" i="3"/>
  <c r="H30" i="3"/>
  <c r="H35" i="3"/>
  <c r="H34" i="3"/>
  <c r="H32" i="3"/>
  <c r="H33" i="3"/>
  <c r="F6" i="1"/>
  <c r="F5" i="1"/>
  <c r="M27" i="2"/>
  <c r="E27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G30" i="2"/>
  <c r="G31" i="2"/>
  <c r="G32" i="2"/>
  <c r="G33" i="2"/>
  <c r="G34" i="2"/>
  <c r="G35" i="2"/>
  <c r="G36" i="2"/>
  <c r="G29" i="2"/>
  <c r="G28" i="2"/>
  <c r="G27" i="2"/>
  <c r="J30" i="2"/>
  <c r="J31" i="2"/>
  <c r="J32" i="2"/>
  <c r="J33" i="2"/>
  <c r="J34" i="2"/>
  <c r="J35" i="2"/>
  <c r="J36" i="2"/>
  <c r="J29" i="2"/>
  <c r="J28" i="2"/>
  <c r="J27" i="2"/>
  <c r="M29" i="2"/>
  <c r="M30" i="2"/>
  <c r="M31" i="2"/>
  <c r="M32" i="2"/>
  <c r="M33" i="2"/>
  <c r="M34" i="2"/>
  <c r="M35" i="2"/>
  <c r="M36" i="2"/>
  <c r="M28" i="2"/>
  <c r="F4" i="1"/>
  <c r="E32" i="2"/>
  <c r="F8" i="1"/>
  <c r="F7" i="1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O32" i="3"/>
  <c r="P32" i="3"/>
  <c r="E30" i="2"/>
  <c r="O30" i="3"/>
  <c r="P30" i="3"/>
  <c r="O29" i="3"/>
  <c r="P29" i="3"/>
  <c r="O33" i="3"/>
  <c r="P33" i="3"/>
  <c r="O34" i="3"/>
  <c r="P34" i="3"/>
  <c r="O35" i="3"/>
  <c r="P35" i="3"/>
  <c r="F35" i="3"/>
  <c r="E28" i="2"/>
  <c r="E29" i="2"/>
  <c r="E31" i="2"/>
  <c r="E33" i="2"/>
  <c r="E34" i="2"/>
  <c r="E35" i="2"/>
  <c r="E36" i="2"/>
  <c r="N32" i="3" l="1"/>
  <c r="N35" i="3"/>
  <c r="N33" i="3"/>
  <c r="F33" i="3" s="1"/>
  <c r="D38" i="2"/>
  <c r="D35" i="2" s="1"/>
  <c r="N34" i="3"/>
  <c r="F34" i="3" s="1"/>
  <c r="N29" i="3"/>
  <c r="F29" i="3" s="1"/>
  <c r="F32" i="3"/>
  <c r="D38" i="3"/>
  <c r="G35" i="3" s="1"/>
  <c r="F32" i="2"/>
  <c r="F29" i="2"/>
  <c r="N30" i="3"/>
  <c r="D34" i="2"/>
  <c r="D28" i="2"/>
  <c r="D36" i="2" l="1"/>
  <c r="D30" i="2"/>
  <c r="D29" i="2"/>
  <c r="C29" i="2" s="1"/>
  <c r="E32" i="1" s="1"/>
  <c r="D27" i="2"/>
  <c r="D31" i="2"/>
  <c r="D33" i="2"/>
  <c r="F30" i="2"/>
  <c r="F34" i="2"/>
  <c r="C34" i="2" s="1"/>
  <c r="E37" i="1" s="1"/>
  <c r="F33" i="2"/>
  <c r="F31" i="2"/>
  <c r="F35" i="2"/>
  <c r="C35" i="2" s="1"/>
  <c r="E38" i="1" s="1"/>
  <c r="F28" i="2"/>
  <c r="C28" i="2" s="1"/>
  <c r="E31" i="1" s="1"/>
  <c r="F27" i="2"/>
  <c r="F36" i="2"/>
  <c r="G34" i="3"/>
  <c r="G32" i="3"/>
  <c r="G33" i="3"/>
  <c r="G29" i="3"/>
  <c r="D32" i="2"/>
  <c r="C32" i="2" s="1"/>
  <c r="E35" i="1" s="1"/>
  <c r="G30" i="3"/>
  <c r="F30" i="3"/>
  <c r="E30" i="3"/>
  <c r="E29" i="3"/>
  <c r="E33" i="3"/>
  <c r="E34" i="3"/>
  <c r="E35" i="3"/>
  <c r="D35" i="3" s="1"/>
  <c r="F38" i="1" s="1"/>
  <c r="E32" i="3"/>
  <c r="D32" i="3" l="1"/>
  <c r="F35" i="1" s="1"/>
  <c r="C33" i="2"/>
  <c r="E36" i="1" s="1"/>
  <c r="C36" i="2"/>
  <c r="E39" i="1" s="1"/>
  <c r="C31" i="2"/>
  <c r="E34" i="1" s="1"/>
  <c r="C30" i="2"/>
  <c r="E33" i="1" s="1"/>
  <c r="C27" i="2"/>
  <c r="E30" i="1" s="1"/>
  <c r="D29" i="3"/>
  <c r="D38" i="1"/>
  <c r="D33" i="3"/>
  <c r="D35" i="1"/>
  <c r="D34" i="3"/>
  <c r="D30" i="3"/>
  <c r="F36" i="1" l="1"/>
  <c r="D36" i="1" s="1"/>
  <c r="F33" i="1"/>
  <c r="D33" i="1" s="1"/>
  <c r="D34" i="1" s="1"/>
  <c r="F32" i="1"/>
  <c r="D32" i="1" s="1"/>
  <c r="F37" i="1"/>
  <c r="D37" i="1" s="1"/>
</calcChain>
</file>

<file path=xl/sharedStrings.xml><?xml version="1.0" encoding="utf-8"?>
<sst xmlns="http://schemas.openxmlformats.org/spreadsheetml/2006/main" count="71" uniqueCount="57">
  <si>
    <t>Geschlecht</t>
  </si>
  <si>
    <t>Alter</t>
  </si>
  <si>
    <t>Expositionsdauer</t>
  </si>
  <si>
    <t>altersbegleitende Hörschwellenverschiebung [dB]:</t>
  </si>
  <si>
    <t>H=</t>
  </si>
  <si>
    <t>H 0,50</t>
  </si>
  <si>
    <t>Frequenz [Hz]</t>
  </si>
  <si>
    <t>männlich</t>
  </si>
  <si>
    <t>weiblich</t>
  </si>
  <si>
    <t>a</t>
  </si>
  <si>
    <t>H(Perzentil)</t>
  </si>
  <si>
    <t>bu</t>
  </si>
  <si>
    <t>bl</t>
  </si>
  <si>
    <t>k</t>
  </si>
  <si>
    <t>Q (Quantil)</t>
  </si>
  <si>
    <t>k=</t>
  </si>
  <si>
    <t>H(Q&lt;50)</t>
  </si>
  <si>
    <t>H (Q=0,5)</t>
  </si>
  <si>
    <t>H(Q&gt;50)</t>
  </si>
  <si>
    <t>H (altersbegleitend)</t>
  </si>
  <si>
    <t>N=</t>
  </si>
  <si>
    <t>u</t>
  </si>
  <si>
    <t>v</t>
  </si>
  <si>
    <t>L0</t>
  </si>
  <si>
    <t>N(0,50; J&lt;10)</t>
  </si>
  <si>
    <t>N(0,50; J&gt;=10)</t>
  </si>
  <si>
    <t>N(Q&lt;0,5)</t>
  </si>
  <si>
    <t>N(Q=0,5)</t>
  </si>
  <si>
    <t>N(Q&gt;0,5)</t>
  </si>
  <si>
    <t>Xu</t>
  </si>
  <si>
    <t>Yu</t>
  </si>
  <si>
    <t>Xl</t>
  </si>
  <si>
    <t>Yl</t>
  </si>
  <si>
    <t>du</t>
  </si>
  <si>
    <t>dl</t>
  </si>
  <si>
    <t>N(0,5)</t>
  </si>
  <si>
    <t>N(Q)</t>
  </si>
  <si>
    <t>N (lärmbedingt)</t>
  </si>
  <si>
    <t>Status</t>
  </si>
  <si>
    <t>H' (Alter und Lärm)</t>
  </si>
  <si>
    <t>Eingabe</t>
  </si>
  <si>
    <t>19-60 Jahre</t>
  </si>
  <si>
    <t>1 - 40 Jahre</t>
  </si>
  <si>
    <t>In die Berechnung gehen folgende Einflussgrößen ein: 1.) der A-bewertete Lärmexpositionspegel, 2.) die Expositionsdauer in Jahren, 3.) das Lebensalter in Jahren und 4.) das Geschlecht.</t>
  </si>
  <si>
    <t>Die PTS (permanente Hörschwellenverschiebung) setzt sich aus zwei Anteilen zusammen: 1.) Einem altersbegleitenden Anteil (dieser entspricht exakt der Linie "75 dB(A)"), der auch ohne Lärmexposition anzutreffen ist, und 2.) einem lärmbedingten Anteil, der für die Abweichungen von der "75 dB(A)"-Kurve hin zu höherer PTS verantwortlich ist.</t>
  </si>
  <si>
    <t>75-100 dB(A)</t>
  </si>
  <si>
    <t>Die Aussagen des Modells beschränken sich auf Gruppen ohne außerberuflich bedingte Hörminderungen.</t>
  </si>
  <si>
    <t>[dB]</t>
  </si>
  <si>
    <t>[Hz]</t>
  </si>
  <si>
    <t>Eingabebereich</t>
  </si>
  <si>
    <t>ISO 1999 enthält ein mathematisches Modell zur Berechnung der zu erwartenden Hörverluste für Gruppen ohne Lärmbelastung und für einheitlich lärmbelastete Gruppen.</t>
  </si>
  <si>
    <t>◄ auswählen</t>
  </si>
  <si>
    <r>
      <t>L</t>
    </r>
    <r>
      <rPr>
        <b/>
        <vertAlign val="subscript"/>
        <sz val="12"/>
        <color indexed="16"/>
        <rFont val="Arial"/>
        <family val="2"/>
      </rPr>
      <t>EX,8h</t>
    </r>
  </si>
  <si>
    <t>Fraktil</t>
  </si>
  <si>
    <t xml:space="preserve">Die Berechnung ergibt die Hörverluste bei den Frequenzen 0,5; 1; 2; 3; 4; 6 kHz in Fraktilen 0,05 bis 0,95. Das Fraktil 0,05 besagt beispielsweise, dass bei 5 % der Lärmexponierten ein Hörverlust zu erwarten ist, der gleich oder größer ist als die Werte, die auf der y-Achse im Diagramm abgelesen werden können. </t>
  </si>
  <si>
    <t>© IFA 2022</t>
  </si>
  <si>
    <t>Berechnung der "altersbegleitenden" (H) und der "altersbegleitenden und lärmbedingten" (H') permanenten Hörschwellenverschiebung für Populationen nach ISO 1999:2013, Datenbasis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</si>
</sst>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indexed="9"/>
      <name val="Arial"/>
      <family val="2"/>
    </font>
    <font>
      <sz val="10"/>
      <color indexed="43"/>
      <name val="Arial"/>
      <family val="2"/>
    </font>
    <font>
      <sz val="10"/>
      <name val="Arial"/>
      <family val="2"/>
    </font>
    <font>
      <sz val="10"/>
      <color indexed="14"/>
      <name val="Arial"/>
      <family val="2"/>
    </font>
    <font>
      <b/>
      <sz val="14"/>
      <color indexed="16"/>
      <name val="Arial"/>
      <family val="2"/>
    </font>
    <font>
      <sz val="10"/>
      <color indexed="16"/>
      <name val="Arial"/>
      <family val="2"/>
    </font>
    <font>
      <b/>
      <sz val="12"/>
      <color indexed="16"/>
      <name val="Arial"/>
      <family val="2"/>
    </font>
    <font>
      <b/>
      <vertAlign val="subscript"/>
      <sz val="12"/>
      <color indexed="16"/>
      <name val="Arial"/>
      <family val="2"/>
    </font>
    <font>
      <b/>
      <sz val="10"/>
      <color indexed="16"/>
      <name val="Arial"/>
      <family val="2"/>
    </font>
    <font>
      <b/>
      <sz val="14"/>
      <color indexed="16"/>
      <name val="Arial"/>
      <family val="2"/>
    </font>
    <font>
      <sz val="10"/>
      <color indexed="16"/>
      <name val="Arial"/>
      <family val="2"/>
    </font>
    <font>
      <sz val="10"/>
      <color theme="0"/>
      <name val="Arial"/>
      <family val="2"/>
    </font>
    <font>
      <sz val="10"/>
      <color theme="0"/>
      <name val="Perzentil"/>
    </font>
    <font>
      <b/>
      <sz val="10"/>
      <color theme="8" tint="0.7999816888943144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16"/>
      </left>
      <right style="thin">
        <color indexed="16"/>
      </right>
      <top style="medium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medium">
        <color indexed="16"/>
      </top>
      <bottom style="thin">
        <color indexed="16"/>
      </bottom>
      <diagonal/>
    </border>
    <border>
      <left style="medium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medium">
        <color indexed="16"/>
      </left>
      <right style="thin">
        <color indexed="16"/>
      </right>
      <top style="thin">
        <color indexed="16"/>
      </top>
      <bottom style="medium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medium">
        <color indexed="16"/>
      </bottom>
      <diagonal/>
    </border>
    <border>
      <left style="thin">
        <color indexed="16"/>
      </left>
      <right style="medium">
        <color indexed="16"/>
      </right>
      <top style="medium">
        <color indexed="16"/>
      </top>
      <bottom style="thin">
        <color indexed="16"/>
      </bottom>
      <diagonal/>
    </border>
    <border>
      <left style="thin">
        <color indexed="16"/>
      </left>
      <right style="medium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 style="medium">
        <color indexed="16"/>
      </right>
      <top style="thin">
        <color indexed="16"/>
      </top>
      <bottom style="medium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/>
      <diagonal/>
    </border>
    <border>
      <left style="thin">
        <color indexed="16"/>
      </left>
      <right style="thin">
        <color indexed="16"/>
      </right>
      <top/>
      <bottom/>
      <diagonal/>
    </border>
    <border>
      <left style="thin">
        <color indexed="16"/>
      </left>
      <right style="thin">
        <color indexed="16"/>
      </right>
      <top/>
      <bottom style="thin">
        <color indexed="16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16"/>
      </left>
      <right/>
      <top style="thin">
        <color indexed="16"/>
      </top>
      <bottom style="thin">
        <color indexed="16"/>
      </bottom>
      <diagonal/>
    </border>
    <border>
      <left/>
      <right/>
      <top style="thin">
        <color indexed="16"/>
      </top>
      <bottom style="thin">
        <color indexed="16"/>
      </bottom>
      <diagonal/>
    </border>
    <border>
      <left/>
      <right style="thin">
        <color indexed="16"/>
      </right>
      <top style="thin">
        <color indexed="16"/>
      </top>
      <bottom style="thin">
        <color indexed="16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0" xfId="0" applyFill="1"/>
    <xf numFmtId="0" fontId="0" fillId="2" borderId="0" xfId="0" applyFill="1" applyProtection="1">
      <protection hidden="1"/>
    </xf>
    <xf numFmtId="0" fontId="5" fillId="2" borderId="0" xfId="0" applyFont="1" applyFill="1" applyProtection="1">
      <protection hidden="1"/>
    </xf>
    <xf numFmtId="0" fontId="8" fillId="3" borderId="0" xfId="0" applyFont="1" applyFill="1"/>
    <xf numFmtId="0" fontId="0" fillId="3" borderId="0" xfId="0" applyFill="1"/>
    <xf numFmtId="0" fontId="4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 wrapText="1"/>
    </xf>
    <xf numFmtId="0" fontId="2" fillId="3" borderId="0" xfId="0" applyFont="1" applyFill="1"/>
    <xf numFmtId="0" fontId="7" fillId="3" borderId="0" xfId="0" applyFont="1" applyFill="1"/>
    <xf numFmtId="0" fontId="3" fillId="3" borderId="0" xfId="0" applyFont="1" applyFill="1"/>
    <xf numFmtId="0" fontId="6" fillId="3" borderId="0" xfId="0" applyFont="1" applyFill="1"/>
    <xf numFmtId="0" fontId="11" fillId="3" borderId="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2" xfId="0" applyFont="1" applyFill="1" applyBorder="1" applyAlignment="1" applyProtection="1">
      <alignment horizontal="center"/>
      <protection hidden="1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 applyProtection="1">
      <alignment horizontal="center"/>
      <protection hidden="1"/>
    </xf>
    <xf numFmtId="0" fontId="11" fillId="3" borderId="5" xfId="0" applyFont="1" applyFill="1" applyBorder="1" applyAlignment="1">
      <alignment horizontal="center"/>
    </xf>
    <xf numFmtId="0" fontId="11" fillId="3" borderId="6" xfId="0" applyFont="1" applyFill="1" applyBorder="1" applyAlignment="1" applyProtection="1">
      <alignment horizontal="center"/>
      <protection hidden="1"/>
    </xf>
    <xf numFmtId="0" fontId="11" fillId="3" borderId="7" xfId="0" applyFont="1" applyFill="1" applyBorder="1" applyAlignment="1" applyProtection="1">
      <alignment horizontal="center"/>
      <protection hidden="1"/>
    </xf>
    <xf numFmtId="0" fontId="11" fillId="3" borderId="8" xfId="0" applyFont="1" applyFill="1" applyBorder="1" applyAlignment="1" applyProtection="1">
      <alignment horizontal="center"/>
      <protection hidden="1"/>
    </xf>
    <xf numFmtId="0" fontId="11" fillId="3" borderId="9" xfId="0" applyFont="1" applyFill="1" applyBorder="1" applyAlignment="1" applyProtection="1">
      <alignment horizontal="center"/>
      <protection hidden="1"/>
    </xf>
    <xf numFmtId="0" fontId="13" fillId="3" borderId="1" xfId="0" applyFont="1" applyFill="1" applyBorder="1" applyAlignment="1" applyProtection="1">
      <alignment horizontal="center"/>
      <protection hidden="1"/>
    </xf>
    <xf numFmtId="0" fontId="13" fillId="3" borderId="2" xfId="0" applyFont="1" applyFill="1" applyBorder="1" applyAlignment="1" applyProtection="1">
      <alignment horizontal="center"/>
      <protection hidden="1"/>
    </xf>
    <xf numFmtId="0" fontId="13" fillId="3" borderId="7" xfId="0" applyFont="1" applyFill="1" applyBorder="1" applyAlignment="1" applyProtection="1">
      <alignment horizontal="center"/>
      <protection hidden="1"/>
    </xf>
    <xf numFmtId="0" fontId="13" fillId="3" borderId="3" xfId="0" applyFont="1" applyFill="1" applyBorder="1" applyAlignment="1" applyProtection="1">
      <alignment horizontal="center"/>
      <protection hidden="1"/>
    </xf>
    <xf numFmtId="0" fontId="13" fillId="3" borderId="4" xfId="0" applyFont="1" applyFill="1" applyBorder="1" applyAlignment="1" applyProtection="1">
      <alignment horizontal="center"/>
      <protection hidden="1"/>
    </xf>
    <xf numFmtId="0" fontId="13" fillId="3" borderId="8" xfId="0" applyFont="1" applyFill="1" applyBorder="1" applyAlignment="1" applyProtection="1">
      <alignment horizontal="center"/>
      <protection hidden="1"/>
    </xf>
    <xf numFmtId="1" fontId="13" fillId="3" borderId="4" xfId="0" applyNumberFormat="1" applyFont="1" applyFill="1" applyBorder="1" applyAlignment="1" applyProtection="1">
      <alignment horizontal="center"/>
      <protection hidden="1"/>
    </xf>
    <xf numFmtId="1" fontId="13" fillId="3" borderId="8" xfId="0" applyNumberFormat="1" applyFont="1" applyFill="1" applyBorder="1" applyAlignment="1" applyProtection="1">
      <alignment horizontal="center"/>
      <protection hidden="1"/>
    </xf>
    <xf numFmtId="0" fontId="13" fillId="3" borderId="5" xfId="0" applyFont="1" applyFill="1" applyBorder="1" applyAlignment="1" applyProtection="1">
      <alignment horizontal="center"/>
      <protection hidden="1"/>
    </xf>
    <xf numFmtId="1" fontId="13" fillId="3" borderId="6" xfId="0" applyNumberFormat="1" applyFont="1" applyFill="1" applyBorder="1" applyAlignment="1" applyProtection="1">
      <alignment horizontal="center"/>
      <protection hidden="1"/>
    </xf>
    <xf numFmtId="1" fontId="13" fillId="3" borderId="9" xfId="0" applyNumberFormat="1" applyFont="1" applyFill="1" applyBorder="1" applyAlignment="1" applyProtection="1">
      <alignment horizontal="center"/>
      <protection hidden="1"/>
    </xf>
    <xf numFmtId="0" fontId="14" fillId="3" borderId="10" xfId="0" applyFont="1" applyFill="1" applyBorder="1" applyAlignment="1">
      <alignment wrapText="1"/>
    </xf>
    <xf numFmtId="0" fontId="14" fillId="3" borderId="11" xfId="0" applyFont="1" applyFill="1" applyBorder="1" applyAlignment="1">
      <alignment wrapText="1"/>
    </xf>
    <xf numFmtId="0" fontId="11" fillId="4" borderId="4" xfId="0" applyFont="1" applyFill="1" applyBorder="1" applyAlignment="1" applyProtection="1">
      <alignment horizontal="center"/>
      <protection locked="0"/>
    </xf>
    <xf numFmtId="0" fontId="11" fillId="4" borderId="6" xfId="0" applyFont="1" applyFill="1" applyBorder="1" applyAlignment="1" applyProtection="1">
      <alignment horizontal="center"/>
      <protection locked="0"/>
    </xf>
    <xf numFmtId="49" fontId="11" fillId="4" borderId="4" xfId="0" applyNumberFormat="1" applyFont="1" applyFill="1" applyBorder="1" applyAlignment="1" applyProtection="1">
      <alignment horizontal="center"/>
      <protection locked="0"/>
    </xf>
    <xf numFmtId="0" fontId="15" fillId="3" borderId="0" xfId="0" applyFont="1" applyFill="1"/>
    <xf numFmtId="0" fontId="7" fillId="0" borderId="0" xfId="0" applyFont="1"/>
    <xf numFmtId="0" fontId="16" fillId="4" borderId="13" xfId="0" applyFont="1" applyFill="1" applyBorder="1" applyProtection="1">
      <protection hidden="1"/>
    </xf>
    <xf numFmtId="0" fontId="16" fillId="4" borderId="14" xfId="0" applyFont="1" applyFill="1" applyBorder="1" applyProtection="1">
      <protection hidden="1"/>
    </xf>
    <xf numFmtId="0" fontId="16" fillId="4" borderId="15" xfId="0" applyFont="1" applyFill="1" applyBorder="1" applyProtection="1">
      <protection hidden="1"/>
    </xf>
    <xf numFmtId="0" fontId="16" fillId="4" borderId="16" xfId="0" applyFont="1" applyFill="1" applyBorder="1" applyProtection="1">
      <protection hidden="1"/>
    </xf>
    <xf numFmtId="0" fontId="16" fillId="4" borderId="17" xfId="0" applyFont="1" applyFill="1" applyBorder="1" applyProtection="1">
      <protection hidden="1"/>
    </xf>
    <xf numFmtId="0" fontId="16" fillId="4" borderId="18" xfId="0" applyFont="1" applyFill="1" applyBorder="1" applyProtection="1">
      <protection hidden="1"/>
    </xf>
    <xf numFmtId="0" fontId="16" fillId="0" borderId="17" xfId="0" applyFont="1" applyBorder="1" applyProtection="1">
      <protection hidden="1"/>
    </xf>
    <xf numFmtId="0" fontId="16" fillId="4" borderId="19" xfId="0" applyFont="1" applyFill="1" applyBorder="1" applyProtection="1">
      <protection hidden="1"/>
    </xf>
    <xf numFmtId="0" fontId="16" fillId="4" borderId="20" xfId="0" applyFont="1" applyFill="1" applyBorder="1" applyProtection="1">
      <protection hidden="1"/>
    </xf>
    <xf numFmtId="0" fontId="16" fillId="4" borderId="21" xfId="0" applyFont="1" applyFill="1" applyBorder="1" applyProtection="1">
      <protection hidden="1"/>
    </xf>
    <xf numFmtId="0" fontId="17" fillId="4" borderId="16" xfId="0" applyFont="1" applyFill="1" applyBorder="1" applyProtection="1">
      <protection hidden="1"/>
    </xf>
    <xf numFmtId="0" fontId="17" fillId="4" borderId="19" xfId="0" applyFont="1" applyFill="1" applyBorder="1" applyProtection="1">
      <protection hidden="1"/>
    </xf>
    <xf numFmtId="0" fontId="9" fillId="3" borderId="12" xfId="0" applyFont="1" applyFill="1" applyBorder="1" applyAlignment="1">
      <alignment vertical="top" wrapText="1"/>
    </xf>
    <xf numFmtId="0" fontId="9" fillId="3" borderId="11" xfId="0" applyFont="1" applyFill="1" applyBorder="1" applyAlignment="1">
      <alignment wrapText="1"/>
    </xf>
    <xf numFmtId="0" fontId="6" fillId="5" borderId="0" xfId="0" applyFont="1" applyFill="1"/>
    <xf numFmtId="0" fontId="0" fillId="5" borderId="0" xfId="0" applyFill="1"/>
    <xf numFmtId="0" fontId="3" fillId="5" borderId="0" xfId="0" applyFont="1" applyFill="1"/>
    <xf numFmtId="1" fontId="18" fillId="3" borderId="0" xfId="0" applyNumberFormat="1" applyFont="1" applyFill="1" applyAlignment="1" applyProtection="1">
      <alignment horizontal="center"/>
      <protection hidden="1"/>
    </xf>
    <xf numFmtId="1" fontId="18" fillId="5" borderId="0" xfId="0" applyNumberFormat="1" applyFont="1" applyFill="1" applyAlignment="1" applyProtection="1">
      <alignment horizontal="center"/>
      <protection hidden="1"/>
    </xf>
    <xf numFmtId="0" fontId="10" fillId="3" borderId="0" xfId="0" applyFont="1" applyFill="1"/>
    <xf numFmtId="1" fontId="18" fillId="3" borderId="4" xfId="0" applyNumberFormat="1" applyFont="1" applyFill="1" applyBorder="1" applyAlignment="1" applyProtection="1">
      <alignment horizontal="center"/>
      <protection hidden="1"/>
    </xf>
    <xf numFmtId="0" fontId="9" fillId="3" borderId="22" xfId="0" applyFont="1" applyFill="1" applyBorder="1" applyAlignment="1">
      <alignment horizontal="center" wrapText="1"/>
    </xf>
    <xf numFmtId="0" fontId="10" fillId="3" borderId="23" xfId="0" applyFont="1" applyFill="1" applyBorder="1" applyAlignment="1">
      <alignment horizontal="center" wrapText="1"/>
    </xf>
    <xf numFmtId="0" fontId="10" fillId="3" borderId="24" xfId="0" applyFont="1" applyFill="1" applyBorder="1" applyAlignment="1">
      <alignment horizontal="center" wrapText="1"/>
    </xf>
  </cellXfs>
  <cellStyles count="1">
    <cellStyle name="Standard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2EEF8"/>
      <rgbColor rgb="0000FFFF"/>
      <rgbColor rgb="00004994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15168553457258"/>
          <c:y val="7.6056442639253194E-2"/>
          <c:w val="0.57121296640176134"/>
          <c:h val="0.723944657714373"/>
        </c:manualLayout>
      </c:layout>
      <c:scatterChart>
        <c:scatterStyle val="lineMarker"/>
        <c:varyColors val="0"/>
        <c:ser>
          <c:idx val="0"/>
          <c:order val="0"/>
          <c:tx>
            <c:strRef>
              <c:f>'ISO 1999'!$E$28</c:f>
              <c:strCache>
                <c:ptCount val="1"/>
                <c:pt idx="0">
                  <c:v>H (altersbegleitend)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10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'ISO 1999'!$C$30:$C$39</c:f>
              <c:numCache>
                <c:formatCode>General</c:formatCode>
                <c:ptCount val="10"/>
                <c:pt idx="0">
                  <c:v>125</c:v>
                </c:pt>
                <c:pt idx="1">
                  <c:v>250</c:v>
                </c:pt>
                <c:pt idx="2">
                  <c:v>500</c:v>
                </c:pt>
                <c:pt idx="3">
                  <c:v>1000</c:v>
                </c:pt>
                <c:pt idx="4">
                  <c:v>1500</c:v>
                </c:pt>
                <c:pt idx="5">
                  <c:v>2000</c:v>
                </c:pt>
                <c:pt idx="6">
                  <c:v>3000</c:v>
                </c:pt>
                <c:pt idx="7">
                  <c:v>4000</c:v>
                </c:pt>
                <c:pt idx="8">
                  <c:v>6000</c:v>
                </c:pt>
                <c:pt idx="9">
                  <c:v>8000</c:v>
                </c:pt>
              </c:numCache>
            </c:numRef>
          </c:xVal>
          <c:yVal>
            <c:numRef>
              <c:f>'ISO 1999'!$E$30:$E$39</c:f>
              <c:numCache>
                <c:formatCode>0</c:formatCode>
                <c:ptCount val="10"/>
                <c:pt idx="0">
                  <c:v>21.059226299999999</c:v>
                </c:pt>
                <c:pt idx="1">
                  <c:v>20.1380263</c:v>
                </c:pt>
                <c:pt idx="2">
                  <c:v>20.760922350000001</c:v>
                </c:pt>
                <c:pt idx="3">
                  <c:v>22.288568400000003</c:v>
                </c:pt>
                <c:pt idx="4">
                  <c:v>27.776256549999999</c:v>
                </c:pt>
                <c:pt idx="5">
                  <c:v>33.280394700000002</c:v>
                </c:pt>
                <c:pt idx="6">
                  <c:v>47.933959150000007</c:v>
                </c:pt>
                <c:pt idx="7">
                  <c:v>62.603973600000003</c:v>
                </c:pt>
                <c:pt idx="8">
                  <c:v>70.5405078</c:v>
                </c:pt>
                <c:pt idx="9">
                  <c:v>84.587626200000003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85-4483-BF1B-B241E6840D59}"/>
            </c:ext>
          </c:extLst>
        </c:ser>
        <c:ser>
          <c:idx val="1"/>
          <c:order val="1"/>
          <c:tx>
            <c:strRef>
              <c:f>'ISO 1999'!$D$28</c:f>
              <c:strCache>
                <c:ptCount val="1"/>
                <c:pt idx="0">
                  <c:v>H' (Alter und Lärm)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quare"/>
            <c:size val="10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dPt>
            <c:idx val="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1485-4483-BF1B-B241E6840D59}"/>
              </c:ext>
            </c:extLst>
          </c:dPt>
          <c:xVal>
            <c:numRef>
              <c:f>'ISO 1999'!$C$30:$C$39</c:f>
              <c:numCache>
                <c:formatCode>General</c:formatCode>
                <c:ptCount val="10"/>
                <c:pt idx="0">
                  <c:v>125</c:v>
                </c:pt>
                <c:pt idx="1">
                  <c:v>250</c:v>
                </c:pt>
                <c:pt idx="2">
                  <c:v>500</c:v>
                </c:pt>
                <c:pt idx="3">
                  <c:v>1000</c:v>
                </c:pt>
                <c:pt idx="4">
                  <c:v>1500</c:v>
                </c:pt>
                <c:pt idx="5">
                  <c:v>2000</c:v>
                </c:pt>
                <c:pt idx="6">
                  <c:v>3000</c:v>
                </c:pt>
                <c:pt idx="7">
                  <c:v>4000</c:v>
                </c:pt>
                <c:pt idx="8">
                  <c:v>6000</c:v>
                </c:pt>
                <c:pt idx="9">
                  <c:v>8000</c:v>
                </c:pt>
              </c:numCache>
            </c:numRef>
          </c:xVal>
          <c:yVal>
            <c:numRef>
              <c:f>'ISO 1999'!$D$30:$D$39</c:f>
              <c:numCache>
                <c:formatCode>0</c:formatCode>
                <c:ptCount val="10"/>
                <c:pt idx="2">
                  <c:v>20.760922350000001</c:v>
                </c:pt>
                <c:pt idx="3">
                  <c:v>22.329805263415341</c:v>
                </c:pt>
                <c:pt idx="4">
                  <c:v>31.147819037402044</c:v>
                </c:pt>
                <c:pt idx="5">
                  <c:v>37.404299377338255</c:v>
                </c:pt>
                <c:pt idx="6">
                  <c:v>50.540216002831492</c:v>
                </c:pt>
                <c:pt idx="7">
                  <c:v>65.044550357386214</c:v>
                </c:pt>
                <c:pt idx="8">
                  <c:v>72.89589209340221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485-4483-BF1B-B241E6840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6106448"/>
        <c:axId val="1"/>
      </c:scatterChart>
      <c:valAx>
        <c:axId val="1566106448"/>
        <c:scaling>
          <c:logBase val="10"/>
          <c:orientation val="minMax"/>
          <c:min val="1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Frequenz (Hz)</a:t>
                </a:r>
              </a:p>
            </c:rich>
          </c:tx>
          <c:layout>
            <c:manualLayout>
              <c:xMode val="edge"/>
              <c:yMode val="edge"/>
              <c:x val="0.32272774994034836"/>
              <c:y val="0.890142028021145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max"/>
        <c:crossBetween val="midCat"/>
        <c:majorUnit val="10"/>
        <c:minorUnit val="10"/>
      </c:valAx>
      <c:valAx>
        <c:axId val="1"/>
        <c:scaling>
          <c:orientation val="maxMin"/>
          <c:max val="100"/>
          <c:min val="-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Hörschwellenverschiebung (dB)</a:t>
                </a:r>
              </a:p>
            </c:rich>
          </c:tx>
          <c:layout>
            <c:manualLayout>
              <c:xMode val="edge"/>
              <c:yMode val="edge"/>
              <c:x val="2.4242424242424242E-2"/>
              <c:y val="0.112676352075708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66106448"/>
        <c:crosses val="autoZero"/>
        <c:crossBetween val="midCat"/>
        <c:majorUnit val="10"/>
        <c:minorUnit val="1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636474986081291"/>
          <c:y val="0.37464847879930502"/>
          <c:w val="0.25151546965720195"/>
          <c:h val="0.126760859117962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6015625"/>
          <c:y val="3.57142857142857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26953125"/>
          <c:y val="0.31547710739021634"/>
          <c:w val="0.80859375"/>
          <c:h val="0.61012082089617303"/>
        </c:manualLayout>
      </c:layout>
      <c:scatterChart>
        <c:scatterStyle val="lineMarker"/>
        <c:varyColors val="0"/>
        <c:ser>
          <c:idx val="0"/>
          <c:order val="0"/>
          <c:tx>
            <c:strRef>
              <c:f>'H (alterbegleitend)'!$A$26</c:f>
              <c:strCache>
                <c:ptCount val="1"/>
                <c:pt idx="0">
                  <c:v>Frequenz [Hz]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'H (alterbegleitend)'!$A$27:$A$36</c:f>
              <c:numCache>
                <c:formatCode>General</c:formatCode>
                <c:ptCount val="10"/>
                <c:pt idx="0">
                  <c:v>125</c:v>
                </c:pt>
                <c:pt idx="1">
                  <c:v>250</c:v>
                </c:pt>
                <c:pt idx="2">
                  <c:v>500</c:v>
                </c:pt>
                <c:pt idx="3">
                  <c:v>1000</c:v>
                </c:pt>
                <c:pt idx="4">
                  <c:v>1500</c:v>
                </c:pt>
                <c:pt idx="5">
                  <c:v>2000</c:v>
                </c:pt>
                <c:pt idx="6">
                  <c:v>3000</c:v>
                </c:pt>
                <c:pt idx="7">
                  <c:v>4000</c:v>
                </c:pt>
                <c:pt idx="8">
                  <c:v>6000</c:v>
                </c:pt>
                <c:pt idx="9">
                  <c:v>8000</c:v>
                </c:pt>
              </c:numCache>
            </c:numRef>
          </c:xVal>
          <c:yVal>
            <c:numRef>
              <c:f>'H (alterbegleitend)'!$C$27:$C$36</c:f>
              <c:numCache>
                <c:formatCode>General</c:formatCode>
                <c:ptCount val="10"/>
                <c:pt idx="0">
                  <c:v>21.059226299999999</c:v>
                </c:pt>
                <c:pt idx="1">
                  <c:v>20.1380263</c:v>
                </c:pt>
                <c:pt idx="2">
                  <c:v>20.760922350000001</c:v>
                </c:pt>
                <c:pt idx="3">
                  <c:v>22.288568400000003</c:v>
                </c:pt>
                <c:pt idx="4">
                  <c:v>27.776256549999999</c:v>
                </c:pt>
                <c:pt idx="5">
                  <c:v>33.280394700000002</c:v>
                </c:pt>
                <c:pt idx="6">
                  <c:v>47.933959150000007</c:v>
                </c:pt>
                <c:pt idx="7">
                  <c:v>62.603973600000003</c:v>
                </c:pt>
                <c:pt idx="8">
                  <c:v>70.5405078</c:v>
                </c:pt>
                <c:pt idx="9">
                  <c:v>84.587626200000003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34-4D08-B5D1-1E9668577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6104368"/>
        <c:axId val="1"/>
      </c:scatterChart>
      <c:valAx>
        <c:axId val="1566104368"/>
        <c:scaling>
          <c:logBase val="10"/>
          <c:orientation val="minMax"/>
          <c:min val="100"/>
        </c:scaling>
        <c:delete val="0"/>
        <c:axPos val="t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Frequenz</a:t>
                </a:r>
              </a:p>
            </c:rich>
          </c:tx>
          <c:layout>
            <c:manualLayout>
              <c:xMode val="edge"/>
              <c:yMode val="edge"/>
              <c:x val="0.46875"/>
              <c:y val="0.154762217222847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</c:valAx>
      <c:valAx>
        <c:axId val="1"/>
        <c:scaling>
          <c:orientation val="maxMin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dB</a:t>
                </a:r>
              </a:p>
            </c:rich>
          </c:tx>
          <c:layout>
            <c:manualLayout>
              <c:xMode val="edge"/>
              <c:yMode val="edge"/>
              <c:x val="3.125E-2"/>
              <c:y val="0.58928727659042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6610436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715481471248839"/>
          <c:y val="3.56083086053412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2670589422266049"/>
          <c:y val="0.31454051508675335"/>
          <c:w val="0.80896840157544769"/>
          <c:h val="0.61127685007425658"/>
        </c:manualLayout>
      </c:layout>
      <c:scatterChart>
        <c:scatterStyle val="lineMarker"/>
        <c:varyColors val="0"/>
        <c:ser>
          <c:idx val="0"/>
          <c:order val="0"/>
          <c:tx>
            <c:strRef>
              <c:f>'N (durch Lärm)'!$A$26</c:f>
              <c:strCache>
                <c:ptCount val="1"/>
                <c:pt idx="0">
                  <c:v>Frequenz [Hz]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'N (durch Lärm)'!$A$27:$A$36</c:f>
              <c:numCache>
                <c:formatCode>General</c:formatCode>
                <c:ptCount val="10"/>
                <c:pt idx="0">
                  <c:v>125</c:v>
                </c:pt>
                <c:pt idx="1">
                  <c:v>250</c:v>
                </c:pt>
                <c:pt idx="2">
                  <c:v>500</c:v>
                </c:pt>
                <c:pt idx="3">
                  <c:v>1000</c:v>
                </c:pt>
                <c:pt idx="4">
                  <c:v>1500</c:v>
                </c:pt>
                <c:pt idx="5">
                  <c:v>2000</c:v>
                </c:pt>
                <c:pt idx="6">
                  <c:v>3000</c:v>
                </c:pt>
                <c:pt idx="7">
                  <c:v>4000</c:v>
                </c:pt>
                <c:pt idx="8">
                  <c:v>6000</c:v>
                </c:pt>
                <c:pt idx="9">
                  <c:v>8000</c:v>
                </c:pt>
              </c:numCache>
            </c:numRef>
          </c:xVal>
          <c:yVal>
            <c:numRef>
              <c:f>'N (durch Lärm)'!$D$27:$D$36</c:f>
              <c:numCache>
                <c:formatCode>General</c:formatCode>
                <c:ptCount val="10"/>
                <c:pt idx="2">
                  <c:v>0</c:v>
                </c:pt>
                <c:pt idx="3">
                  <c:v>5.0643241315894393E-2</c:v>
                </c:pt>
                <c:pt idx="5">
                  <c:v>5.7065361352675641</c:v>
                </c:pt>
                <c:pt idx="6">
                  <c:v>4.339780826738429</c:v>
                </c:pt>
                <c:pt idx="7">
                  <c:v>5.1026042960762386</c:v>
                </c:pt>
                <c:pt idx="8">
                  <c:v>5.7146990928520909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9E-4664-A2BE-AC5E86DF0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3934064"/>
        <c:axId val="1"/>
      </c:scatterChart>
      <c:valAx>
        <c:axId val="1893934064"/>
        <c:scaling>
          <c:logBase val="10"/>
          <c:orientation val="minMax"/>
          <c:min val="100"/>
        </c:scaling>
        <c:delete val="0"/>
        <c:axPos val="t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Frequenz</a:t>
                </a:r>
              </a:p>
            </c:rich>
          </c:tx>
          <c:layout>
            <c:manualLayout>
              <c:xMode val="edge"/>
              <c:yMode val="edge"/>
              <c:x val="0.46783707592106538"/>
              <c:y val="0.154302982156903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</c:valAx>
      <c:valAx>
        <c:axId val="1"/>
        <c:scaling>
          <c:orientation val="maxMin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dB</a:t>
                </a:r>
              </a:p>
            </c:rich>
          </c:tx>
          <c:layout>
            <c:manualLayout>
              <c:xMode val="edge"/>
              <c:yMode val="edge"/>
              <c:x val="3.1189083820662766E-2"/>
              <c:y val="0.590505385639851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89393406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1200150</xdr:colOff>
      <xdr:row>9</xdr:row>
      <xdr:rowOff>9525</xdr:rowOff>
    </xdr:from>
    <xdr:to>
      <xdr:col>5</xdr:col>
      <xdr:colOff>638175</xdr:colOff>
      <xdr:row>25</xdr:row>
      <xdr:rowOff>190500</xdr:rowOff>
    </xdr:to>
    <xdr:graphicFrame macro="">
      <xdr:nvGraphicFramePr>
        <xdr:cNvPr id="3115" name="Diagramm 1">
          <a:extLst>
            <a:ext uri="{FF2B5EF4-FFF2-40B4-BE49-F238E27FC236}">
              <a16:creationId xmlns:a16="http://schemas.microsoft.com/office/drawing/2014/main" id="{FD2A11C2-B55E-4FE1-9BC7-3D737038C0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</xdr:row>
      <xdr:rowOff>104775</xdr:rowOff>
    </xdr:from>
    <xdr:to>
      <xdr:col>1</xdr:col>
      <xdr:colOff>2819400</xdr:colOff>
      <xdr:row>6</xdr:row>
      <xdr:rowOff>47625</xdr:rowOff>
    </xdr:to>
    <xdr:pic>
      <xdr:nvPicPr>
        <xdr:cNvPr id="3116" name="Picture 14">
          <a:extLst>
            <a:ext uri="{FF2B5EF4-FFF2-40B4-BE49-F238E27FC236}">
              <a16:creationId xmlns:a16="http://schemas.microsoft.com/office/drawing/2014/main" id="{61CE4B8C-CB70-42BD-B84C-BFA73D149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9150"/>
          <a:ext cx="36195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1</xdr:row>
      <xdr:rowOff>152400</xdr:rowOff>
    </xdr:from>
    <xdr:to>
      <xdr:col>6</xdr:col>
      <xdr:colOff>742950</xdr:colOff>
      <xdr:row>21</xdr:row>
      <xdr:rowOff>114300</xdr:rowOff>
    </xdr:to>
    <xdr:graphicFrame macro="">
      <xdr:nvGraphicFramePr>
        <xdr:cNvPr id="1038" name="Diagramm 1">
          <a:extLst>
            <a:ext uri="{FF2B5EF4-FFF2-40B4-BE49-F238E27FC236}">
              <a16:creationId xmlns:a16="http://schemas.microsoft.com/office/drawing/2014/main" id="{B0EAADFB-13BC-4649-9F99-07B801E28B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7</xdr:col>
      <xdr:colOff>314325</xdr:colOff>
      <xdr:row>20</xdr:row>
      <xdr:rowOff>133350</xdr:rowOff>
    </xdr:to>
    <xdr:graphicFrame macro="">
      <xdr:nvGraphicFramePr>
        <xdr:cNvPr id="2062" name="Diagramm 1">
          <a:extLst>
            <a:ext uri="{FF2B5EF4-FFF2-40B4-BE49-F238E27FC236}">
              <a16:creationId xmlns:a16="http://schemas.microsoft.com/office/drawing/2014/main" id="{B83B1FC9-CC91-4340-9EB6-A6C56B49ED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O200"/>
  <sheetViews>
    <sheetView tabSelected="1" zoomScaleNormal="100" workbookViewId="0">
      <selection activeCell="D8" sqref="D8"/>
    </sheetView>
  </sheetViews>
  <sheetFormatPr baseColWidth="10" defaultRowHeight="12.75"/>
  <cols>
    <col min="1" max="1" width="12" style="1" customWidth="1"/>
    <col min="2" max="2" width="43.5703125" style="1" customWidth="1"/>
    <col min="3" max="3" width="21.5703125" style="1" customWidth="1"/>
    <col min="4" max="4" width="18.42578125" style="1" customWidth="1"/>
    <col min="5" max="5" width="19.140625" style="1" customWidth="1"/>
    <col min="6" max="6" width="20.28515625" style="1" customWidth="1"/>
    <col min="7" max="7" width="11.85546875" style="1" customWidth="1"/>
    <col min="8" max="8" width="11.42578125" style="1"/>
    <col min="9" max="9" width="1" style="1" customWidth="1"/>
    <col min="10" max="15" width="11.42578125" style="1"/>
  </cols>
  <sheetData>
    <row r="1" spans="1:15" ht="37.5" customHeight="1">
      <c r="A1" s="61" t="s">
        <v>56</v>
      </c>
      <c r="B1" s="62"/>
      <c r="C1" s="62"/>
      <c r="D1" s="62"/>
      <c r="E1" s="62"/>
      <c r="F1" s="62"/>
      <c r="G1" s="62"/>
      <c r="H1" s="62"/>
      <c r="I1" s="63"/>
      <c r="J1" s="5"/>
      <c r="K1" s="5"/>
      <c r="L1" s="5"/>
      <c r="M1" s="5"/>
      <c r="N1" s="5"/>
      <c r="O1" s="5"/>
    </row>
    <row r="2" spans="1:15" ht="18.75" customHeight="1" thickBot="1">
      <c r="A2" s="6"/>
      <c r="B2" s="7"/>
      <c r="C2" s="7"/>
      <c r="D2" s="7"/>
      <c r="E2" s="7"/>
      <c r="F2" s="7"/>
      <c r="G2" s="7"/>
      <c r="H2" s="7"/>
      <c r="I2" s="7"/>
      <c r="J2" s="5"/>
      <c r="K2" s="5"/>
      <c r="L2" s="5"/>
      <c r="M2" s="5"/>
      <c r="N2" s="5"/>
      <c r="O2" s="5"/>
    </row>
    <row r="3" spans="1:15" ht="15.75">
      <c r="A3" s="5"/>
      <c r="B3" s="5"/>
      <c r="C3" s="12"/>
      <c r="D3" s="13" t="s">
        <v>40</v>
      </c>
      <c r="E3" s="14" t="s">
        <v>49</v>
      </c>
      <c r="F3" s="19" t="s">
        <v>38</v>
      </c>
      <c r="G3" s="8"/>
      <c r="H3" s="5"/>
      <c r="I3" s="5"/>
      <c r="J3" s="5"/>
      <c r="K3" s="5"/>
      <c r="L3" s="5"/>
      <c r="M3" s="5"/>
      <c r="N3" s="5"/>
      <c r="O3" s="5"/>
    </row>
    <row r="4" spans="1:15" ht="15.75">
      <c r="A4" s="5"/>
      <c r="B4" s="5"/>
      <c r="C4" s="15" t="s">
        <v>0</v>
      </c>
      <c r="D4" s="37" t="s">
        <v>7</v>
      </c>
      <c r="E4" s="16" t="s">
        <v>51</v>
      </c>
      <c r="F4" s="20" t="str">
        <f>IF(AND(D4&lt;&gt;"männlich",D4&lt;&gt;"weiblich"),"Fehler!","o.k.")</f>
        <v>o.k.</v>
      </c>
      <c r="G4" s="8"/>
      <c r="H4" s="5"/>
      <c r="I4" s="5"/>
      <c r="J4" s="5"/>
      <c r="K4" s="5"/>
      <c r="L4" s="5"/>
      <c r="M4" s="5"/>
      <c r="N4" s="5"/>
      <c r="O4" s="5"/>
    </row>
    <row r="5" spans="1:15" ht="15.75">
      <c r="A5" s="5"/>
      <c r="B5" s="5"/>
      <c r="C5" s="15" t="s">
        <v>1</v>
      </c>
      <c r="D5" s="35">
        <v>60</v>
      </c>
      <c r="E5" s="16" t="s">
        <v>41</v>
      </c>
      <c r="F5" s="20" t="str">
        <f>IF(OR(D5&lt;19,D5&gt;60),"Fehler!","o.k.")</f>
        <v>o.k.</v>
      </c>
      <c r="G5" s="8"/>
      <c r="H5" s="5"/>
      <c r="I5" s="5"/>
      <c r="J5" s="5"/>
      <c r="K5" s="5"/>
      <c r="L5" s="5"/>
      <c r="M5" s="5"/>
      <c r="N5" s="5"/>
      <c r="O5" s="5"/>
    </row>
    <row r="6" spans="1:15" ht="15.75">
      <c r="A6" s="9"/>
      <c r="B6" s="5"/>
      <c r="C6" s="15" t="s">
        <v>2</v>
      </c>
      <c r="D6" s="35">
        <v>1</v>
      </c>
      <c r="E6" s="16" t="s">
        <v>42</v>
      </c>
      <c r="F6" s="20" t="str">
        <f>IF(OR(D6&lt;1,D6&gt;40),"Fehler!",IF(AND(((D5-D6)&lt;18),D5&gt;18),"Expdauer zu groß","o.k."))</f>
        <v>o.k.</v>
      </c>
      <c r="G6" s="8"/>
      <c r="H6" s="5"/>
      <c r="I6" s="5"/>
      <c r="J6" s="5"/>
      <c r="K6" s="5"/>
      <c r="L6" s="5"/>
      <c r="M6" s="5"/>
      <c r="N6" s="5"/>
      <c r="O6" s="5"/>
    </row>
    <row r="7" spans="1:15" ht="18.75">
      <c r="A7" s="5"/>
      <c r="B7" s="5"/>
      <c r="C7" s="15" t="s">
        <v>52</v>
      </c>
      <c r="D7" s="35">
        <v>90</v>
      </c>
      <c r="E7" s="16" t="s">
        <v>45</v>
      </c>
      <c r="F7" s="20" t="str">
        <f>IF(OR(D7&gt;100,D7&lt;75),"Fehler!","o.k.")</f>
        <v>o.k.</v>
      </c>
      <c r="G7" s="8"/>
      <c r="H7" s="5"/>
      <c r="I7" s="5"/>
      <c r="J7" s="5"/>
      <c r="K7" s="5"/>
      <c r="L7" s="5"/>
      <c r="M7" s="5"/>
      <c r="N7" s="5"/>
      <c r="O7" s="5"/>
    </row>
    <row r="8" spans="1:15" ht="16.5" thickBot="1">
      <c r="A8" s="5"/>
      <c r="B8" s="5"/>
      <c r="C8" s="17" t="s">
        <v>53</v>
      </c>
      <c r="D8" s="36">
        <v>0.05</v>
      </c>
      <c r="E8" s="18" t="s">
        <v>51</v>
      </c>
      <c r="F8" s="21" t="str">
        <f>IF(AND(D8&lt;&gt;0.05,D8&lt;&gt;0.1,D8&lt;&gt;0.15,D8&lt;&gt;0.2,D8&lt;&gt;0.25,D8&lt;&gt;0.3,D8&lt;&gt;0.35,D8&lt;&gt;0.4,D8&lt;&gt;0.45,D8&lt;&gt;0.5,D8&lt;&gt;0.55,D8&lt;&gt;0.6,D8&lt;&gt;0.65,D8&lt;&gt;0.7,D8&lt;&gt;0.75,D8&lt;&gt;0.8,D8&lt;&gt;0.85,D8&lt;&gt;0.9,D8&lt;&gt;0.95),"Fehler!","o.k.")</f>
        <v>o.k.</v>
      </c>
      <c r="G8" s="8"/>
      <c r="H8" s="5"/>
      <c r="I8" s="5"/>
      <c r="J8" s="5"/>
      <c r="K8" s="5"/>
      <c r="L8" s="5"/>
      <c r="M8" s="5"/>
      <c r="N8" s="5"/>
      <c r="O8" s="5"/>
    </row>
    <row r="9" spans="1:15" ht="15.75">
      <c r="A9" s="5"/>
      <c r="B9" s="5"/>
      <c r="C9" s="8"/>
      <c r="D9" s="8"/>
      <c r="E9" s="8"/>
      <c r="F9" s="8"/>
      <c r="G9" s="8"/>
      <c r="H9" s="5"/>
      <c r="I9" s="5"/>
      <c r="J9" s="5"/>
      <c r="K9" s="5"/>
      <c r="L9" s="5"/>
      <c r="M9" s="5"/>
      <c r="N9" s="5"/>
      <c r="O9" s="5"/>
    </row>
    <row r="10" spans="1:15" ht="15.75">
      <c r="A10" s="38"/>
      <c r="B10" s="5"/>
      <c r="C10" s="8"/>
      <c r="D10" s="8"/>
      <c r="E10" s="8"/>
      <c r="F10" s="8"/>
      <c r="G10" s="8"/>
      <c r="H10" s="5"/>
      <c r="I10" s="5"/>
      <c r="J10" s="5"/>
      <c r="K10" s="5"/>
      <c r="L10" s="5"/>
      <c r="M10" s="5"/>
      <c r="N10" s="5"/>
      <c r="O10" s="5"/>
    </row>
    <row r="11" spans="1:15" ht="15.75">
      <c r="A11" s="5"/>
      <c r="B11" s="5"/>
      <c r="C11" s="8"/>
      <c r="D11" s="8"/>
      <c r="E11" s="8"/>
      <c r="F11" s="8"/>
      <c r="G11" s="8"/>
      <c r="H11" s="5"/>
      <c r="I11" s="5"/>
      <c r="J11" s="5"/>
      <c r="K11" s="5"/>
      <c r="L11" s="5"/>
      <c r="M11" s="5"/>
      <c r="N11" s="5"/>
      <c r="O11" s="5"/>
    </row>
    <row r="12" spans="1:15" ht="15.75">
      <c r="A12" s="5"/>
      <c r="B12" s="5"/>
      <c r="C12" s="8"/>
      <c r="D12" s="8"/>
      <c r="E12" s="8"/>
      <c r="F12" s="8"/>
      <c r="G12" s="8"/>
      <c r="H12" s="5"/>
      <c r="I12" s="5"/>
      <c r="J12" s="5"/>
      <c r="K12" s="5"/>
      <c r="L12" s="5"/>
      <c r="M12" s="5"/>
      <c r="N12" s="5"/>
      <c r="O12" s="5"/>
    </row>
    <row r="13" spans="1:15" ht="15.75">
      <c r="A13" s="5"/>
      <c r="B13" s="5"/>
      <c r="C13" s="8"/>
      <c r="D13" s="8"/>
      <c r="E13" s="8"/>
      <c r="F13" s="8"/>
      <c r="G13" s="8"/>
      <c r="H13" s="5"/>
      <c r="I13" s="5"/>
      <c r="J13" s="5"/>
      <c r="K13" s="5"/>
      <c r="L13" s="5"/>
      <c r="M13" s="5"/>
      <c r="N13" s="5"/>
      <c r="O13" s="5"/>
    </row>
    <row r="14" spans="1:15" ht="15.75">
      <c r="A14" s="5"/>
      <c r="B14" s="5"/>
      <c r="C14" s="8"/>
      <c r="D14" s="8"/>
      <c r="E14" s="8"/>
      <c r="F14" s="8"/>
      <c r="G14" s="8"/>
      <c r="H14" s="5"/>
      <c r="I14" s="5"/>
      <c r="J14" s="5"/>
      <c r="K14" s="5"/>
      <c r="L14" s="5"/>
      <c r="M14" s="5"/>
      <c r="N14" s="5"/>
      <c r="O14" s="5"/>
    </row>
    <row r="15" spans="1:15" ht="15.75">
      <c r="A15" s="5"/>
      <c r="B15" s="5"/>
      <c r="C15" s="8"/>
      <c r="D15" s="8"/>
      <c r="E15" s="8"/>
      <c r="F15" s="8"/>
      <c r="G15" s="8"/>
      <c r="H15" s="5"/>
      <c r="I15" s="5"/>
      <c r="J15" s="5"/>
      <c r="K15" s="5"/>
      <c r="L15" s="5"/>
      <c r="M15" s="5"/>
      <c r="N15" s="5"/>
      <c r="O15" s="5"/>
    </row>
    <row r="16" spans="1:15" ht="15.75">
      <c r="A16" s="5"/>
      <c r="B16" s="5"/>
      <c r="C16" s="8"/>
      <c r="D16" s="8"/>
      <c r="E16" s="8"/>
      <c r="F16" s="8"/>
      <c r="G16" s="8"/>
      <c r="H16" s="5"/>
      <c r="I16" s="5"/>
      <c r="J16" s="5"/>
      <c r="K16" s="5"/>
      <c r="L16" s="5"/>
      <c r="M16" s="5"/>
      <c r="N16" s="5"/>
      <c r="O16" s="5"/>
    </row>
    <row r="17" spans="1:15" ht="15.75">
      <c r="A17" s="59" t="s">
        <v>55</v>
      </c>
      <c r="B17" s="5"/>
      <c r="C17" s="8"/>
      <c r="D17" s="8"/>
      <c r="E17" s="8"/>
      <c r="F17" s="8"/>
      <c r="G17" s="8"/>
      <c r="H17" s="5"/>
      <c r="I17" s="5"/>
      <c r="J17" s="5"/>
      <c r="K17" s="5"/>
      <c r="L17" s="5"/>
      <c r="M17" s="5"/>
      <c r="N17" s="5"/>
      <c r="O17" s="5"/>
    </row>
    <row r="18" spans="1:15" ht="15.75">
      <c r="A18" s="5"/>
      <c r="B18" s="5"/>
      <c r="C18" s="8"/>
      <c r="D18" s="8"/>
      <c r="E18" s="8"/>
      <c r="F18" s="8"/>
      <c r="G18" s="8"/>
      <c r="H18" s="5"/>
      <c r="I18" s="5"/>
      <c r="J18" s="5"/>
      <c r="K18" s="5"/>
      <c r="L18" s="5"/>
      <c r="M18" s="5"/>
      <c r="N18" s="5"/>
      <c r="O18" s="5"/>
    </row>
    <row r="19" spans="1:15" ht="15.75">
      <c r="A19" s="5"/>
      <c r="B19" s="5"/>
      <c r="C19" s="8"/>
      <c r="D19" s="8"/>
      <c r="E19" s="8"/>
      <c r="F19" s="8"/>
      <c r="G19" s="8"/>
      <c r="H19" s="5"/>
      <c r="I19" s="5"/>
      <c r="J19" s="5"/>
      <c r="K19" s="5"/>
      <c r="L19" s="5"/>
      <c r="M19" s="5"/>
      <c r="N19" s="5"/>
      <c r="O19" s="5"/>
    </row>
    <row r="20" spans="1:15" ht="15.75">
      <c r="A20" s="5"/>
      <c r="B20" s="5"/>
      <c r="C20" s="8"/>
      <c r="D20" s="8"/>
      <c r="E20" s="8"/>
      <c r="F20" s="8"/>
      <c r="G20" s="8"/>
      <c r="H20" s="5"/>
      <c r="I20" s="5"/>
      <c r="J20" s="5"/>
      <c r="K20" s="5"/>
      <c r="L20" s="5"/>
      <c r="M20" s="5"/>
      <c r="N20" s="5"/>
      <c r="O20" s="5"/>
    </row>
    <row r="21" spans="1:15" ht="15.75">
      <c r="A21" s="5"/>
      <c r="B21" s="5"/>
      <c r="C21" s="8"/>
      <c r="D21" s="8"/>
      <c r="E21" s="8"/>
      <c r="F21" s="8"/>
      <c r="G21" s="8"/>
      <c r="H21" s="5"/>
      <c r="I21" s="5"/>
      <c r="J21" s="5"/>
      <c r="K21" s="5"/>
      <c r="L21" s="5"/>
      <c r="M21" s="5"/>
      <c r="N21" s="5"/>
      <c r="O21" s="5"/>
    </row>
    <row r="22" spans="1:15" ht="15.75">
      <c r="A22" s="5"/>
      <c r="B22" s="5"/>
      <c r="C22" s="8"/>
      <c r="D22" s="8"/>
      <c r="E22" s="8"/>
      <c r="F22" s="8"/>
      <c r="G22" s="8"/>
      <c r="H22" s="5"/>
      <c r="I22" s="5"/>
      <c r="J22" s="5"/>
      <c r="K22" s="5"/>
      <c r="L22" s="5"/>
      <c r="M22" s="5"/>
      <c r="N22" s="5"/>
      <c r="O22" s="5"/>
    </row>
    <row r="23" spans="1:15" ht="15.75">
      <c r="A23" s="5"/>
      <c r="B23" s="5"/>
      <c r="C23" s="8"/>
      <c r="D23" s="8"/>
      <c r="E23" s="8"/>
      <c r="F23" s="8"/>
      <c r="G23" s="8"/>
      <c r="H23" s="5"/>
      <c r="I23" s="5"/>
      <c r="J23" s="5"/>
      <c r="K23" s="5"/>
      <c r="L23" s="5"/>
      <c r="M23" s="5"/>
      <c r="N23" s="5"/>
      <c r="O23" s="5"/>
    </row>
    <row r="24" spans="1:15" ht="15.75">
      <c r="A24" s="5"/>
      <c r="B24" s="5"/>
      <c r="C24" s="8"/>
      <c r="D24" s="8"/>
      <c r="E24" s="8"/>
      <c r="F24" s="8"/>
      <c r="G24" s="8"/>
      <c r="H24" s="5"/>
      <c r="I24" s="5"/>
      <c r="J24" s="5"/>
      <c r="K24" s="5"/>
      <c r="L24" s="5"/>
      <c r="M24" s="5"/>
      <c r="N24" s="5"/>
      <c r="O24" s="5"/>
    </row>
    <row r="25" spans="1:15" ht="15.75">
      <c r="A25" s="5"/>
      <c r="B25" s="5"/>
      <c r="C25" s="8"/>
      <c r="D25" s="8"/>
      <c r="E25" s="8"/>
      <c r="F25" s="8"/>
      <c r="G25" s="8"/>
      <c r="H25" s="5"/>
      <c r="I25" s="5"/>
      <c r="J25" s="5"/>
      <c r="K25" s="5"/>
      <c r="L25" s="5"/>
      <c r="M25" s="5"/>
      <c r="N25" s="5"/>
      <c r="O25" s="5"/>
    </row>
    <row r="26" spans="1:15" ht="15.75">
      <c r="A26" s="5"/>
      <c r="B26" s="5"/>
      <c r="C26" s="8"/>
      <c r="D26" s="8"/>
      <c r="E26" s="8"/>
      <c r="F26" s="8"/>
      <c r="G26" s="8"/>
      <c r="H26" s="5"/>
      <c r="I26" s="5"/>
      <c r="J26" s="5"/>
      <c r="K26" s="5"/>
      <c r="L26" s="5"/>
      <c r="M26" s="5"/>
      <c r="N26" s="5"/>
      <c r="O26" s="5"/>
    </row>
    <row r="27" spans="1:15" ht="13.5" thickBot="1">
      <c r="A27" s="5"/>
      <c r="B27" s="5"/>
      <c r="C27" s="10"/>
      <c r="D27" s="10"/>
      <c r="E27" s="10"/>
      <c r="F27" s="10"/>
      <c r="G27" s="10"/>
      <c r="H27" s="5"/>
      <c r="I27" s="5"/>
      <c r="J27" s="5"/>
      <c r="K27" s="5"/>
      <c r="L27" s="5"/>
      <c r="M27" s="5"/>
      <c r="N27" s="5"/>
      <c r="O27" s="5"/>
    </row>
    <row r="28" spans="1:15">
      <c r="A28" s="5"/>
      <c r="B28" s="5"/>
      <c r="C28" s="22" t="s">
        <v>6</v>
      </c>
      <c r="D28" s="23" t="s">
        <v>39</v>
      </c>
      <c r="E28" s="24" t="s">
        <v>19</v>
      </c>
      <c r="F28" s="57" t="s">
        <v>37</v>
      </c>
      <c r="G28" s="11"/>
      <c r="H28" s="5"/>
      <c r="I28" s="5"/>
      <c r="J28" s="5"/>
      <c r="K28" s="5"/>
      <c r="L28" s="5"/>
      <c r="M28" s="5"/>
      <c r="N28" s="5"/>
      <c r="O28" s="5"/>
    </row>
    <row r="29" spans="1:15">
      <c r="A29" s="5"/>
      <c r="B29" s="5"/>
      <c r="C29" s="25" t="s">
        <v>48</v>
      </c>
      <c r="D29" s="26" t="s">
        <v>47</v>
      </c>
      <c r="E29" s="27" t="s">
        <v>47</v>
      </c>
      <c r="F29" s="58"/>
      <c r="G29" s="54"/>
      <c r="H29" s="55"/>
      <c r="I29" s="55"/>
      <c r="J29" s="55"/>
      <c r="K29" s="55"/>
      <c r="L29" s="55"/>
      <c r="M29" s="55"/>
      <c r="N29" s="55"/>
      <c r="O29" s="55"/>
    </row>
    <row r="30" spans="1:15">
      <c r="A30" s="5"/>
      <c r="B30" s="5"/>
      <c r="C30" s="25">
        <v>125</v>
      </c>
      <c r="D30" s="28"/>
      <c r="E30" s="29">
        <f>'H (alterbegleitend)'!C27</f>
        <v>21.059226299999999</v>
      </c>
      <c r="F30" s="58"/>
      <c r="G30" s="54"/>
      <c r="H30" s="55"/>
      <c r="I30" s="55"/>
      <c r="J30" s="55"/>
      <c r="K30" s="55"/>
      <c r="L30" s="55"/>
      <c r="M30" s="55"/>
      <c r="N30" s="55"/>
      <c r="O30" s="55"/>
    </row>
    <row r="31" spans="1:15">
      <c r="A31" s="5"/>
      <c r="B31" s="5"/>
      <c r="C31" s="25">
        <v>250</v>
      </c>
      <c r="D31" s="28"/>
      <c r="E31" s="29">
        <f>'H (alterbegleitend)'!C28</f>
        <v>20.1380263</v>
      </c>
      <c r="F31" s="58"/>
      <c r="G31" s="54"/>
      <c r="H31" s="55"/>
      <c r="I31" s="55"/>
      <c r="J31" s="55"/>
      <c r="K31" s="55"/>
      <c r="L31" s="55"/>
      <c r="M31" s="55"/>
      <c r="N31" s="55"/>
      <c r="O31" s="55"/>
    </row>
    <row r="32" spans="1:15">
      <c r="A32" s="5"/>
      <c r="B32" s="5"/>
      <c r="C32" s="25">
        <v>500</v>
      </c>
      <c r="D32" s="28">
        <f>E32+F32-E32*F32/120</f>
        <v>20.760922350000001</v>
      </c>
      <c r="E32" s="29">
        <f>'H (alterbegleitend)'!C29</f>
        <v>20.760922350000001</v>
      </c>
      <c r="F32" s="58">
        <f>IF('N (durch Lärm)'!D29&lt;0,0,'N (durch Lärm)'!D29)</f>
        <v>0</v>
      </c>
      <c r="G32" s="54"/>
      <c r="H32" s="55"/>
      <c r="I32" s="55"/>
      <c r="J32" s="55"/>
      <c r="K32" s="55"/>
      <c r="L32" s="55"/>
      <c r="M32" s="55"/>
      <c r="N32" s="55"/>
      <c r="O32" s="55"/>
    </row>
    <row r="33" spans="1:15">
      <c r="A33" s="5"/>
      <c r="B33" s="5"/>
      <c r="C33" s="25">
        <v>1000</v>
      </c>
      <c r="D33" s="28">
        <f>E33+F33-E33*F33/120</f>
        <v>22.329805263415341</v>
      </c>
      <c r="E33" s="29">
        <f>'H (alterbegleitend)'!C30</f>
        <v>22.288568400000003</v>
      </c>
      <c r="F33" s="58">
        <f>IF('N (durch Lärm)'!D30&lt;0,0,'N (durch Lärm)'!D30)</f>
        <v>5.0643241315894393E-2</v>
      </c>
      <c r="G33" s="54"/>
      <c r="H33" s="55"/>
      <c r="I33" s="55"/>
      <c r="J33" s="55"/>
      <c r="K33" s="55"/>
      <c r="L33" s="55"/>
      <c r="M33" s="55"/>
      <c r="N33" s="55"/>
      <c r="O33" s="55"/>
    </row>
    <row r="34" spans="1:15">
      <c r="A34" s="5"/>
      <c r="B34" s="5"/>
      <c r="C34" s="25">
        <v>1500</v>
      </c>
      <c r="D34" s="60">
        <f>D33+(D35-D33)*(LOG(1500)-LOG(1000))/(LOG(2000)-LOG(1000))</f>
        <v>31.147819037402044</v>
      </c>
      <c r="E34" s="29">
        <f>'H (alterbegleitend)'!C31</f>
        <v>27.776256549999999</v>
      </c>
      <c r="F34" s="58"/>
      <c r="G34" s="54"/>
      <c r="H34" s="55"/>
      <c r="I34" s="55"/>
      <c r="J34" s="55"/>
      <c r="K34" s="55"/>
      <c r="L34" s="55"/>
      <c r="M34" s="55"/>
      <c r="N34" s="55"/>
      <c r="O34" s="55"/>
    </row>
    <row r="35" spans="1:15">
      <c r="A35" s="5"/>
      <c r="B35" s="5"/>
      <c r="C35" s="25">
        <v>2000</v>
      </c>
      <c r="D35" s="28">
        <f>E35+F35-E35*F35/120</f>
        <v>37.404299377338255</v>
      </c>
      <c r="E35" s="29">
        <f>'H (alterbegleitend)'!C32</f>
        <v>33.280394700000002</v>
      </c>
      <c r="F35" s="58">
        <f>IF('N (durch Lärm)'!D32&lt;0,0,'N (durch Lärm)'!D32)</f>
        <v>5.7065361352675641</v>
      </c>
      <c r="G35" s="54"/>
      <c r="H35" s="55"/>
      <c r="I35" s="55"/>
      <c r="J35" s="55"/>
      <c r="K35" s="55"/>
      <c r="L35" s="55"/>
      <c r="M35" s="55"/>
      <c r="N35" s="55"/>
      <c r="O35" s="55"/>
    </row>
    <row r="36" spans="1:15">
      <c r="A36" s="5"/>
      <c r="B36" s="5"/>
      <c r="C36" s="25">
        <v>3000</v>
      </c>
      <c r="D36" s="28">
        <f>E36+F36-E36*F36/120</f>
        <v>50.540216002831492</v>
      </c>
      <c r="E36" s="29">
        <f>'H (alterbegleitend)'!C33</f>
        <v>47.933959150000007</v>
      </c>
      <c r="F36" s="58">
        <f>IF('N (durch Lärm)'!D33&lt;0,0,'N (durch Lärm)'!D33)</f>
        <v>4.339780826738429</v>
      </c>
      <c r="G36" s="54"/>
      <c r="H36" s="55"/>
      <c r="I36" s="55"/>
      <c r="J36" s="55"/>
      <c r="K36" s="55"/>
      <c r="L36" s="55"/>
      <c r="M36" s="55"/>
      <c r="N36" s="55"/>
      <c r="O36" s="55"/>
    </row>
    <row r="37" spans="1:15">
      <c r="A37" s="5"/>
      <c r="B37" s="5"/>
      <c r="C37" s="25">
        <v>4000</v>
      </c>
      <c r="D37" s="28">
        <f>E37+F37-E37*F37/120</f>
        <v>65.044550357386214</v>
      </c>
      <c r="E37" s="29">
        <f>'H (alterbegleitend)'!C34</f>
        <v>62.603973600000003</v>
      </c>
      <c r="F37" s="58">
        <f>IF('N (durch Lärm)'!D34&lt;0,0,'N (durch Lärm)'!D34)</f>
        <v>5.1026042960762386</v>
      </c>
      <c r="G37" s="54"/>
      <c r="H37" s="55"/>
      <c r="I37" s="55"/>
      <c r="J37" s="55"/>
      <c r="K37" s="55"/>
      <c r="L37" s="55"/>
      <c r="M37" s="55"/>
      <c r="N37" s="55"/>
      <c r="O37" s="55"/>
    </row>
    <row r="38" spans="1:15">
      <c r="A38" s="5"/>
      <c r="B38" s="5"/>
      <c r="C38" s="25">
        <v>6000</v>
      </c>
      <c r="D38" s="28">
        <f>E38+F38-E38*F38/120</f>
        <v>72.89589209340221</v>
      </c>
      <c r="E38" s="29">
        <f>'H (alterbegleitend)'!C35</f>
        <v>70.5405078</v>
      </c>
      <c r="F38" s="58">
        <f>IF('N (durch Lärm)'!D35&lt;0,0,'N (durch Lärm)'!D35)</f>
        <v>5.7146990928520909</v>
      </c>
      <c r="G38" s="54"/>
      <c r="H38" s="55"/>
      <c r="I38" s="55"/>
      <c r="J38" s="55"/>
      <c r="K38" s="55"/>
      <c r="L38" s="55"/>
      <c r="M38" s="55"/>
      <c r="N38" s="55"/>
      <c r="O38" s="55"/>
    </row>
    <row r="39" spans="1:15" ht="13.5" thickBot="1">
      <c r="A39" s="5"/>
      <c r="B39" s="5"/>
      <c r="C39" s="30">
        <v>8000</v>
      </c>
      <c r="D39" s="31"/>
      <c r="E39" s="32">
        <f>'H (alterbegleitend)'!C36</f>
        <v>84.587626200000003</v>
      </c>
      <c r="F39" s="58"/>
      <c r="G39" s="54"/>
      <c r="H39" s="55"/>
      <c r="I39" s="55"/>
      <c r="J39" s="55"/>
      <c r="K39" s="55"/>
      <c r="L39" s="55"/>
      <c r="M39" s="55"/>
      <c r="N39" s="55"/>
      <c r="O39" s="55"/>
    </row>
    <row r="40" spans="1:15">
      <c r="A40" s="55"/>
      <c r="B40" s="55"/>
      <c r="C40" s="56"/>
      <c r="D40" s="56"/>
      <c r="E40" s="56"/>
      <c r="F40" s="56"/>
      <c r="G40" s="56"/>
      <c r="H40" s="55"/>
      <c r="I40" s="55"/>
      <c r="J40" s="55"/>
      <c r="K40" s="55"/>
      <c r="L40" s="55"/>
      <c r="M40" s="55"/>
      <c r="N40" s="55"/>
      <c r="O40" s="55"/>
    </row>
    <row r="41" spans="1:15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</row>
    <row r="42" spans="1:15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</row>
    <row r="43" spans="1:15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</row>
    <row r="44" spans="1:15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</row>
    <row r="45" spans="1:15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</row>
    <row r="46" spans="1:15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</row>
    <row r="47" spans="1:15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</row>
    <row r="48" spans="1:15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</row>
    <row r="49" spans="1:15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</row>
    <row r="50" spans="1:15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</row>
    <row r="51" spans="1:15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</row>
    <row r="52" spans="1:15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</row>
    <row r="53" spans="1:15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</row>
    <row r="54" spans="1:15">
      <c r="A54" s="55"/>
      <c r="B54" s="55"/>
      <c r="C54" s="55"/>
      <c r="D54" s="55"/>
      <c r="E54" s="55"/>
      <c r="F54" s="5"/>
      <c r="G54" s="5"/>
      <c r="H54" s="5"/>
      <c r="I54" s="5"/>
      <c r="J54" s="5"/>
      <c r="K54" s="5"/>
      <c r="L54" s="5"/>
      <c r="M54" s="5"/>
      <c r="N54" s="5"/>
      <c r="O54" s="5"/>
    </row>
    <row r="55" spans="1:15">
      <c r="A55" s="55"/>
      <c r="B55" s="55"/>
      <c r="C55" s="55"/>
      <c r="D55" s="55"/>
      <c r="E55" s="5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1: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1: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1: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1: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1: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pans="1: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1: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</row>
    <row r="66" spans="1: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</row>
    <row r="67" spans="1: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</row>
    <row r="69" spans="1: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1: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</row>
    <row r="71" spans="1: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</row>
    <row r="72" spans="1: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</row>
    <row r="73" spans="1: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</row>
    <row r="74" spans="1: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1: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</row>
    <row r="76" spans="1: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</row>
    <row r="77" spans="1: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</row>
    <row r="78" spans="1: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</row>
    <row r="79" spans="1: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</row>
    <row r="80" spans="1: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</row>
    <row r="81" spans="1: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</row>
    <row r="82" spans="1:1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</row>
    <row r="83" spans="1:1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</row>
    <row r="84" spans="1:1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</row>
    <row r="85" spans="1:1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</row>
    <row r="86" spans="1:1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</row>
    <row r="87" spans="1:1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</row>
    <row r="88" spans="1:1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</row>
    <row r="89" spans="1:1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</row>
    <row r="90" spans="1:1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</row>
    <row r="91" spans="1:1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</row>
    <row r="92" spans="1:1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</row>
    <row r="93" spans="1:1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</row>
    <row r="94" spans="1:1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</row>
    <row r="95" spans="1:1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</row>
    <row r="96" spans="1:1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</row>
    <row r="97" spans="1:1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</row>
    <row r="98" spans="1:1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</row>
    <row r="99" spans="1:1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</row>
    <row r="100" spans="1:1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</row>
    <row r="101" spans="1:1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</row>
    <row r="102" spans="1:1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03" spans="1:1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</row>
    <row r="104" spans="1:1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</row>
    <row r="105" spans="1:1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</row>
    <row r="106" spans="1:1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</row>
    <row r="107" spans="1:1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</row>
    <row r="108" spans="1:1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</row>
    <row r="109" spans="1:1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</row>
    <row r="110" spans="1:1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</row>
    <row r="111" spans="1:1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</row>
    <row r="112" spans="1:1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</row>
    <row r="113" spans="1:1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</row>
    <row r="114" spans="1:1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</row>
    <row r="115" spans="1: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</row>
    <row r="116" spans="1:1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</row>
    <row r="117" spans="1:1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</row>
    <row r="118" spans="1:1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</row>
    <row r="119" spans="1:1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</row>
    <row r="120" spans="1:1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</row>
    <row r="121" spans="1:1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</row>
    <row r="122" spans="1:1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</row>
    <row r="123" spans="1:1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</row>
    <row r="124" spans="1:1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</row>
    <row r="125" spans="1:1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</row>
    <row r="126" spans="1:1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</row>
    <row r="127" spans="1:1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</row>
    <row r="128" spans="1:1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</row>
    <row r="129" spans="1:1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</row>
    <row r="130" spans="1:1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</row>
    <row r="131" spans="1:1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</row>
    <row r="132" spans="1:1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</row>
    <row r="133" spans="1:1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</row>
    <row r="134" spans="1:1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</row>
    <row r="135" spans="1:1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</row>
    <row r="136" spans="1:1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</row>
    <row r="137" spans="1:1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</row>
    <row r="138" spans="1:1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</row>
    <row r="139" spans="1:1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</row>
    <row r="140" spans="1:1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</row>
    <row r="141" spans="1:1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</row>
    <row r="142" spans="1:1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</row>
    <row r="143" spans="1:1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</row>
    <row r="144" spans="1:1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</row>
    <row r="145" spans="1:1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</row>
    <row r="146" spans="1:1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</row>
    <row r="147" spans="1:1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</row>
    <row r="148" spans="1:1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</row>
    <row r="149" spans="1:1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</row>
    <row r="150" spans="1:1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</row>
    <row r="151" spans="1:1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</row>
    <row r="152" spans="1:1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</row>
    <row r="153" spans="1:1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</row>
    <row r="154" spans="1:1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</row>
    <row r="155" spans="1:1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</row>
    <row r="156" spans="1:1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</row>
    <row r="157" spans="1:1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</row>
    <row r="158" spans="1:1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</row>
    <row r="159" spans="1:1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</row>
    <row r="160" spans="1:1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</row>
    <row r="161" spans="1:1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</row>
    <row r="162" spans="1:1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</row>
    <row r="163" spans="1:1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</row>
    <row r="164" spans="1:1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</row>
    <row r="165" spans="1:1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</row>
    <row r="166" spans="1:1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</row>
    <row r="167" spans="1:1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</row>
    <row r="168" spans="1:1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</row>
    <row r="169" spans="1:1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</row>
    <row r="170" spans="1:1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</row>
    <row r="171" spans="1:1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</row>
    <row r="172" spans="1:1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</row>
    <row r="173" spans="1:1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</row>
    <row r="174" spans="1:1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</row>
    <row r="175" spans="1:1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</row>
    <row r="176" spans="1:1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</row>
    <row r="177" spans="1:1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</row>
    <row r="178" spans="1:1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</row>
    <row r="179" spans="1:1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</row>
    <row r="180" spans="1:1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</row>
    <row r="181" spans="1:1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</row>
    <row r="182" spans="1:1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</row>
    <row r="183" spans="1:1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</row>
    <row r="184" spans="1:1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</row>
    <row r="185" spans="1:1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</row>
    <row r="186" spans="1:1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</row>
    <row r="187" spans="1:1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</row>
    <row r="188" spans="1:1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</row>
    <row r="189" spans="1:1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</row>
    <row r="190" spans="1:1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</row>
    <row r="191" spans="1:1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</row>
    <row r="192" spans="1:1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</row>
    <row r="193" spans="1:1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</row>
    <row r="194" spans="1:1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</row>
    <row r="195" spans="1:1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</row>
    <row r="196" spans="1:1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</row>
    <row r="197" spans="1:1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</row>
    <row r="198" spans="1:1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</row>
    <row r="199" spans="1:1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</row>
    <row r="200" spans="1:1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</row>
  </sheetData>
  <sheetProtection algorithmName="SHA-512" hashValue="KXTJQ+kBi3LKr7L+LmIln8yGdCBbXMWIVDa0FivlDweJ0Fwv2zcWZX7WPgvVsfOaGYeeTMbJHfa69bTGw50xXg==" saltValue="cEUQfXdFXPkM+cTlWAKbBw==" spinCount="100000" sheet="1" selectLockedCells="1"/>
  <mergeCells count="1">
    <mergeCell ref="A1:I1"/>
  </mergeCells>
  <phoneticPr fontId="1" type="noConversion"/>
  <conditionalFormatting sqref="F4:F8">
    <cfRule type="cellIs" dxfId="0" priority="1" stopIfTrue="1" operator="notEqual">
      <formula>"o.k."</formula>
    </cfRule>
  </conditionalFormatting>
  <dataValidations xWindow="720" yWindow="287" count="2">
    <dataValidation type="list" allowBlank="1" showInputMessage="1" showErrorMessage="1" errorTitle="Geschlecht" error="Bitte eine gültige Eingabe zum Geschlecht mittels Pop-up Menu auswählen - vorher bitte direkt unterhalb dieser Meldung &quot;Abbrechen&quot; wählen" promptTitle="Geschlecht" prompt="Bitte Geschlecht mittels Pop-up Menu rechts vom aktivierten Eingabefeld auswählen" sqref="D4" xr:uid="{00000000-0002-0000-0000-000000000000}">
      <formula1>MF</formula1>
    </dataValidation>
    <dataValidation type="list" allowBlank="1" showInputMessage="1" showErrorMessage="1" errorTitle="Perzentil" error="Bitte mittels Pop-up Menu gültige Perzentile auswählen - vorher bitte direkt unterhalb dieser Meldung &quot;Abbrechen&quot; wählen" promptTitle="Fraktil" prompt="Bitte Fraktil mittels Pop-up Menu rechts vom aktivierten Eingabefeld auswählen" sqref="D8" xr:uid="{00000000-0002-0000-0000-000001000000}">
      <formula1>Perzentil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Z100"/>
  <sheetViews>
    <sheetView zoomScale="75" workbookViewId="0">
      <selection activeCell="B17" sqref="B17"/>
    </sheetView>
  </sheetViews>
  <sheetFormatPr baseColWidth="10" defaultRowHeight="12.75"/>
  <cols>
    <col min="2" max="2" width="143.140625" customWidth="1"/>
  </cols>
  <sheetData>
    <row r="1" spans="1:26" ht="51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49.5" customHeight="1">
      <c r="A2" s="5"/>
      <c r="B2" s="33" t="s">
        <v>50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51.75" customHeight="1">
      <c r="A3" s="5"/>
      <c r="B3" s="34" t="s">
        <v>43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50.25" customHeight="1">
      <c r="A4" s="5"/>
      <c r="B4" s="34" t="s">
        <v>46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7.75" customHeight="1">
      <c r="A5" s="5"/>
      <c r="B5" s="53" t="s">
        <v>54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7.25" customHeight="1">
      <c r="A6" s="5"/>
      <c r="B6" s="3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95.25" customHeight="1">
      <c r="A7" s="5"/>
      <c r="B7" s="52" t="s">
        <v>44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>
      <c r="A18" s="5"/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</sheetData>
  <sheetProtection algorithmName="SHA-512" hashValue="Dck6THVcncr8MQRC1CvbyhF8IanO/9SbKMBdjNAZMooj0jN7G9RNaM9O2fTKWRtvX1rD8Byq35aQd8FuELJdQw==" saltValue="2cK7EdpsdcfD8MYGuw6KEg==" spinCount="100000" sheet="1" selectLockedCells="1" selectUnlockedCells="1"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Z58"/>
  <sheetViews>
    <sheetView topLeftCell="A10" workbookViewId="0">
      <selection activeCell="A24" sqref="A24:O57"/>
    </sheetView>
  </sheetViews>
  <sheetFormatPr baseColWidth="10" defaultRowHeight="12.75"/>
  <cols>
    <col min="1" max="26" width="11.42578125" style="1"/>
  </cols>
  <sheetData>
    <row r="1" spans="1:1">
      <c r="A1" s="1" t="s">
        <v>3</v>
      </c>
    </row>
    <row r="23" spans="1:15" ht="13.5" thickBot="1"/>
    <row r="24" spans="1:15" ht="13.5" thickTop="1">
      <c r="A24" s="40" t="s">
        <v>4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2"/>
    </row>
    <row r="25" spans="1:15">
      <c r="A25" s="43"/>
      <c r="B25" s="44"/>
      <c r="C25" s="44"/>
      <c r="D25" s="44"/>
      <c r="E25" s="44"/>
      <c r="F25" s="44"/>
      <c r="G25" s="44"/>
      <c r="H25" s="44" t="s">
        <v>12</v>
      </c>
      <c r="I25" s="44"/>
      <c r="J25" s="44"/>
      <c r="K25" s="44" t="s">
        <v>11</v>
      </c>
      <c r="L25" s="44"/>
      <c r="M25" s="44"/>
      <c r="N25" s="44" t="s">
        <v>9</v>
      </c>
      <c r="O25" s="45"/>
    </row>
    <row r="26" spans="1:15">
      <c r="A26" s="43" t="s">
        <v>6</v>
      </c>
      <c r="B26" s="44"/>
      <c r="C26" s="44" t="s">
        <v>10</v>
      </c>
      <c r="D26" s="44" t="s">
        <v>16</v>
      </c>
      <c r="E26" s="44" t="s">
        <v>17</v>
      </c>
      <c r="F26" s="44" t="s">
        <v>18</v>
      </c>
      <c r="G26" s="44" t="s">
        <v>12</v>
      </c>
      <c r="H26" s="44" t="s">
        <v>7</v>
      </c>
      <c r="I26" s="44" t="s">
        <v>8</v>
      </c>
      <c r="J26" s="44" t="s">
        <v>11</v>
      </c>
      <c r="K26" s="44" t="s">
        <v>7</v>
      </c>
      <c r="L26" s="44" t="s">
        <v>8</v>
      </c>
      <c r="M26" s="44" t="s">
        <v>5</v>
      </c>
      <c r="N26" s="44" t="s">
        <v>7</v>
      </c>
      <c r="O26" s="45" t="s">
        <v>8</v>
      </c>
    </row>
    <row r="27" spans="1:15">
      <c r="A27" s="43">
        <v>125</v>
      </c>
      <c r="B27" s="44"/>
      <c r="C27" s="44">
        <f>IF(AND('ISO 1999'!$F$4="o.k.",'ISO 1999'!$F$5="o.k.",'ISO 1999'!$F$6="o.k.",'ISO 1999'!$F$7="o.k.",'ISO 1999'!$F$8="o.k."),SUM(D27:F27),0)</f>
        <v>21.059226299999999</v>
      </c>
      <c r="D27" s="44">
        <f>IF(AND('ISO 1999'!$D$8&lt;0.5,OR('ISO 1999'!$D$8=0.45,'ISO 1999'!$D$8=0.4,'ISO 1999'!$D$8=0.35,'ISO 1999'!$D$8=0.3,'ISO 1999'!$D$8=0.25,'ISO 1999'!$D$8=0.2,'ISO 1999'!$D$8=0.15,'ISO 1999'!$D$8=0.1,'ISO 1999'!$D$8=0.05)),M27+$D$38*(J27+0.445*M27),0)</f>
        <v>21.059226299999999</v>
      </c>
      <c r="E27" s="44">
        <f>IF('ISO 1999'!$D$8=0.5,M27,0)</f>
        <v>0</v>
      </c>
      <c r="F27" s="44">
        <f>IF(AND('ISO 1999'!$D$8&gt;0.5,OR('ISO 1999'!$D$8=0.55,'ISO 1999'!$D$8=0.6,'ISO 1999'!$D$8=0.65,'ISO 1999'!$D$8=0.7,'ISO 1999'!$D$8=0.75,'ISO 1999'!$D$8=0.8,'ISO 1999'!$D$8=0.85,'ISO 1999'!$D$8=0.9,'ISO 1999'!$D$8=0.95)),M27-$D$38*(G27+0.356*M27),0)</f>
        <v>0</v>
      </c>
      <c r="G27" s="44">
        <f>IF('ISO 1999'!$D$4="männlich",H27,IF('ISO 1999'!$D$4="weiblich",I27,H27))</f>
        <v>5.78</v>
      </c>
      <c r="H27" s="44">
        <v>5.78</v>
      </c>
      <c r="I27" s="44">
        <v>5.34</v>
      </c>
      <c r="J27" s="44">
        <f>IF('ISO 1999'!$D$4="männlich",K27,IF('ISO 1999'!$D$4="weiblich",L27,K27))</f>
        <v>7.23</v>
      </c>
      <c r="K27" s="44">
        <v>7.23</v>
      </c>
      <c r="L27" s="44">
        <v>6.67</v>
      </c>
      <c r="M27" s="44">
        <f>IF('ISO 1999'!$D$4="männlich",N27*('ISO 1999'!$D$5-18)^2,IF('ISO 1999'!$D$4="weiblich",O27*('ISO 1999'!$D$5-18)^2,N27*('ISO 1999'!$D$5-18)^2))</f>
        <v>5.2919999999999998</v>
      </c>
      <c r="N27" s="44">
        <v>3.0000000000000001E-3</v>
      </c>
      <c r="O27" s="45">
        <v>3.0000000000000001E-3</v>
      </c>
    </row>
    <row r="28" spans="1:15">
      <c r="A28" s="43">
        <v>250</v>
      </c>
      <c r="B28" s="44"/>
      <c r="C28" s="44">
        <f>IF(AND('ISO 1999'!$F$4="o.k.",'ISO 1999'!$F$5="o.k.",'ISO 1999'!$F$6="o.k.",'ISO 1999'!$F$7="o.k.",'ISO 1999'!$F$8="o.k."),SUM(D28:F28),0)</f>
        <v>20.1380263</v>
      </c>
      <c r="D28" s="44">
        <f>IF(AND('ISO 1999'!$D$8&lt;0.5,OR('ISO 1999'!$D$8=0.45,'ISO 1999'!$D$8=0.4,'ISO 1999'!$D$8=0.35,'ISO 1999'!$D$8=0.3,'ISO 1999'!$D$8=0.25,'ISO 1999'!$D$8=0.2,'ISO 1999'!$D$8=0.15,'ISO 1999'!$D$8=0.1,'ISO 1999'!$D$8=0.05)),M28+$D$38*(J28+0.445*M28),0)</f>
        <v>20.1380263</v>
      </c>
      <c r="E28" s="44">
        <f>IF('ISO 1999'!$D$8=0.5,M28,0)</f>
        <v>0</v>
      </c>
      <c r="F28" s="44">
        <f>IF(AND('ISO 1999'!$D$8&gt;0.5,OR('ISO 1999'!$D$8=0.55,'ISO 1999'!$D$8=0.6,'ISO 1999'!$D$8=0.65,'ISO 1999'!$D$8=0.7,'ISO 1999'!$D$8=0.75,'ISO 1999'!$D$8=0.8,'ISO 1999'!$D$8=0.85,'ISO 1999'!$D$8=0.9,'ISO 1999'!$D$8=0.95)),M28-$D$38*(G28+0.356*M28),0)</f>
        <v>0</v>
      </c>
      <c r="G28" s="44">
        <f>IF('ISO 1999'!$D$4="männlich",H28,IF('ISO 1999'!$D$4="weiblich",I28,H28))</f>
        <v>5.34</v>
      </c>
      <c r="H28" s="44">
        <v>5.34</v>
      </c>
      <c r="I28" s="44">
        <v>4.8899999999999997</v>
      </c>
      <c r="J28" s="44">
        <f>IF('ISO 1999'!$D$4="männlich",K28,IF('ISO 1999'!$D$4="weiblich",L28,K28))</f>
        <v>6.67</v>
      </c>
      <c r="K28" s="44">
        <v>6.67</v>
      </c>
      <c r="L28" s="44">
        <v>6.12</v>
      </c>
      <c r="M28" s="44">
        <f>IF('ISO 1999'!$D$4="männlich",N28*('ISO 1999'!$D$5-18)^2,IF('ISO 1999'!$D$4="weiblich",O28*('ISO 1999'!$D$5-18)^2,N28*('ISO 1999'!$D$5-18)^2))</f>
        <v>5.2919999999999998</v>
      </c>
      <c r="N28" s="44">
        <v>3.0000000000000001E-3</v>
      </c>
      <c r="O28" s="45">
        <v>3.0000000000000001E-3</v>
      </c>
    </row>
    <row r="29" spans="1:15">
      <c r="A29" s="43">
        <v>500</v>
      </c>
      <c r="B29" s="44"/>
      <c r="C29" s="44">
        <f>IF(AND('ISO 1999'!$F$4="o.k.",'ISO 1999'!$F$5="o.k.",'ISO 1999'!$F$6="o.k.",'ISO 1999'!$F$7="o.k.",'ISO 1999'!$F$8="o.k."),SUM(D29:F29),0)</f>
        <v>20.760922350000001</v>
      </c>
      <c r="D29" s="44">
        <f>IF(AND('ISO 1999'!$D$8&lt;0.5,OR('ISO 1999'!$D$8=0.45,'ISO 1999'!$D$8=0.4,'ISO 1999'!$D$8=0.35,'ISO 1999'!$D$8=0.3,'ISO 1999'!$D$8=0.25,'ISO 1999'!$D$8=0.2,'ISO 1999'!$D$8=0.15,'ISO 1999'!$D$8=0.1,'ISO 1999'!$D$8=0.05)),M29+$D$38*(J29+0.445*M29),0)</f>
        <v>20.760922350000001</v>
      </c>
      <c r="E29" s="44">
        <f>IF('ISO 1999'!$D$8=0.5,M29,0)</f>
        <v>0</v>
      </c>
      <c r="F29" s="44">
        <f>IF(AND('ISO 1999'!$D$8&gt;0.5,OR('ISO 1999'!$D$8=0.55,'ISO 1999'!$D$8=0.6,'ISO 1999'!$D$8=0.65,'ISO 1999'!$D$8=0.7,'ISO 1999'!$D$8=0.75,'ISO 1999'!$D$8=0.8,'ISO 1999'!$D$8=0.85,'ISO 1999'!$D$8=0.9,'ISO 1999'!$D$8=0.95)),M29-$D$38*(G29+0.356*M29),0)</f>
        <v>0</v>
      </c>
      <c r="G29" s="44">
        <f>IF('ISO 1999'!$D$4="männlich",H29,IF('ISO 1999'!$D$4="weiblich",I29,H29))</f>
        <v>4.8899999999999997</v>
      </c>
      <c r="H29" s="44">
        <v>4.8899999999999997</v>
      </c>
      <c r="I29" s="44">
        <v>4.8899999999999997</v>
      </c>
      <c r="J29" s="44">
        <f>IF('ISO 1999'!$D$4="männlich",K29,IF('ISO 1999'!$D$4="weiblich",L29,K29))</f>
        <v>6.12</v>
      </c>
      <c r="K29" s="44">
        <v>6.12</v>
      </c>
      <c r="L29" s="44">
        <v>6.12</v>
      </c>
      <c r="M29" s="44">
        <f>IF('ISO 1999'!$D$4="männlich",N29*('ISO 1999'!$D$5-18)^2,IF('ISO 1999'!$D$4="weiblich",O29*('ISO 1999'!$D$5-18)^2,N29*('ISO 1999'!$D$5-18)^2))</f>
        <v>6.1740000000000004</v>
      </c>
      <c r="N29" s="44">
        <v>3.5000000000000001E-3</v>
      </c>
      <c r="O29" s="45">
        <v>3.5000000000000001E-3</v>
      </c>
    </row>
    <row r="30" spans="1:15">
      <c r="A30" s="43">
        <v>1000</v>
      </c>
      <c r="B30" s="44"/>
      <c r="C30" s="44">
        <f>IF(AND('ISO 1999'!$F$4="o.k.",'ISO 1999'!$F$5="o.k.",'ISO 1999'!$F$6="o.k.",'ISO 1999'!$F$7="o.k.",'ISO 1999'!$F$8="o.k."),SUM(D30:F30),0)</f>
        <v>22.288568400000003</v>
      </c>
      <c r="D30" s="44">
        <f>IF(AND('ISO 1999'!$D$8&lt;0.5,OR('ISO 1999'!$D$8=0.45,'ISO 1999'!$D$8=0.4,'ISO 1999'!$D$8=0.35,'ISO 1999'!$D$8=0.3,'ISO 1999'!$D$8=0.25,'ISO 1999'!$D$8=0.2,'ISO 1999'!$D$8=0.15,'ISO 1999'!$D$8=0.1,'ISO 1999'!$D$8=0.05)),M30+$D$38*(J30+0.445*M30),0)</f>
        <v>22.288568400000003</v>
      </c>
      <c r="E30" s="44">
        <f>IF('ISO 1999'!$D$8=0.5,M30,0)</f>
        <v>0</v>
      </c>
      <c r="F30" s="44">
        <f>IF(AND('ISO 1999'!$D$8&gt;0.5,OR('ISO 1999'!$D$8=0.55,'ISO 1999'!$D$8=0.6,'ISO 1999'!$D$8=0.65,'ISO 1999'!$D$8=0.7,'ISO 1999'!$D$8=0.75,'ISO 1999'!$D$8=0.8,'ISO 1999'!$D$8=0.85,'ISO 1999'!$D$8=0.9,'ISO 1999'!$D$8=0.95)),M30-$D$38*(G30+0.356*M30),0)</f>
        <v>0</v>
      </c>
      <c r="G30" s="44">
        <f>IF('ISO 1999'!$D$4="männlich",H30,IF('ISO 1999'!$D$4="weiblich",I30,H30))</f>
        <v>4.8899999999999997</v>
      </c>
      <c r="H30" s="44">
        <v>4.8899999999999997</v>
      </c>
      <c r="I30" s="44">
        <v>4.8899999999999997</v>
      </c>
      <c r="J30" s="44">
        <f>IF('ISO 1999'!$D$4="männlich",K30,IF('ISO 1999'!$D$4="weiblich",L30,K30))</f>
        <v>6.12</v>
      </c>
      <c r="K30" s="44">
        <v>6.12</v>
      </c>
      <c r="L30" s="44">
        <v>6.12</v>
      </c>
      <c r="M30" s="44">
        <f>IF('ISO 1999'!$D$4="männlich",N30*('ISO 1999'!$D$5-18)^2,IF('ISO 1999'!$D$4="weiblich",O30*('ISO 1999'!$D$5-18)^2,N30*('ISO 1999'!$D$5-18)^2))</f>
        <v>7.056</v>
      </c>
      <c r="N30" s="44">
        <v>4.0000000000000001E-3</v>
      </c>
      <c r="O30" s="45">
        <v>4.0000000000000001E-3</v>
      </c>
    </row>
    <row r="31" spans="1:15">
      <c r="A31" s="43">
        <v>1500</v>
      </c>
      <c r="B31" s="44"/>
      <c r="C31" s="44">
        <f>IF(AND('ISO 1999'!$F$4="o.k.",'ISO 1999'!$F$5="o.k.",'ISO 1999'!$F$6="o.k.",'ISO 1999'!$F$7="o.k.",'ISO 1999'!$F$8="o.k."),SUM(D31:F31),0)</f>
        <v>27.776256549999999</v>
      </c>
      <c r="D31" s="44">
        <f>IF(AND('ISO 1999'!$D$8&lt;0.5,OR('ISO 1999'!$D$8=0.45,'ISO 1999'!$D$8=0.4,'ISO 1999'!$D$8=0.35,'ISO 1999'!$D$8=0.3,'ISO 1999'!$D$8=0.25,'ISO 1999'!$D$8=0.2,'ISO 1999'!$D$8=0.15,'ISO 1999'!$D$8=0.1,'ISO 1999'!$D$8=0.05)),M31+$D$38*(J31+0.445*M31),0)</f>
        <v>27.776256549999999</v>
      </c>
      <c r="E31" s="44">
        <f>IF('ISO 1999'!$D$8=0.5,M31,0)</f>
        <v>0</v>
      </c>
      <c r="F31" s="44">
        <f>IF(AND('ISO 1999'!$D$8&gt;0.5,OR('ISO 1999'!$D$8=0.55,'ISO 1999'!$D$8=0.6,'ISO 1999'!$D$8=0.65,'ISO 1999'!$D$8=0.7,'ISO 1999'!$D$8=0.75,'ISO 1999'!$D$8=0.8,'ISO 1999'!$D$8=0.85,'ISO 1999'!$D$8=0.9,'ISO 1999'!$D$8=0.95)),M31-$D$38*(G31+0.356*M31),0)</f>
        <v>0</v>
      </c>
      <c r="G31" s="44">
        <f>IF('ISO 1999'!$D$4="männlich",H31,IF('ISO 1999'!$D$4="weiblich",I31,H31))</f>
        <v>5.34</v>
      </c>
      <c r="H31" s="44">
        <v>5.34</v>
      </c>
      <c r="I31" s="44">
        <v>5.34</v>
      </c>
      <c r="J31" s="44">
        <f>IF('ISO 1999'!$D$4="männlich",K31,IF('ISO 1999'!$D$4="weiblich",L31,K31))</f>
        <v>6.67</v>
      </c>
      <c r="K31" s="44">
        <v>6.67</v>
      </c>
      <c r="L31" s="44">
        <v>6.67</v>
      </c>
      <c r="M31" s="44">
        <f>IF('ISO 1999'!$D$4="männlich",N31*('ISO 1999'!$D$5-18)^2,IF('ISO 1999'!$D$4="weiblich",O31*('ISO 1999'!$D$5-18)^2,N31*('ISO 1999'!$D$5-18)^2))</f>
        <v>9.702</v>
      </c>
      <c r="N31" s="44">
        <v>5.4999999999999997E-3</v>
      </c>
      <c r="O31" s="45">
        <v>5.0000000000000001E-3</v>
      </c>
    </row>
    <row r="32" spans="1:15">
      <c r="A32" s="43">
        <v>2000</v>
      </c>
      <c r="B32" s="44"/>
      <c r="C32" s="44">
        <f>IF(AND('ISO 1999'!$F$4="o.k.",'ISO 1999'!$F$5="o.k.",'ISO 1999'!$F$6="o.k.",'ISO 1999'!$F$7="o.k.",'ISO 1999'!$F$8="o.k."),SUM(D32:F32),0)</f>
        <v>33.280394700000002</v>
      </c>
      <c r="D32" s="44">
        <f>IF(AND('ISO 1999'!$D$8&lt;0.5,OR('ISO 1999'!$D$8=0.45,'ISO 1999'!$D$8=0.4,'ISO 1999'!$D$8=0.35,'ISO 1999'!$D$8=0.3,'ISO 1999'!$D$8=0.25,'ISO 1999'!$D$8=0.2,'ISO 1999'!$D$8=0.15,'ISO 1999'!$D$8=0.1,'ISO 1999'!$D$8=0.05)),M32+$D$38*(J32+0.445*M32),0)</f>
        <v>33.280394700000002</v>
      </c>
      <c r="E32" s="44">
        <f>IF('ISO 1999'!$D$8=0.5,M32,0)</f>
        <v>0</v>
      </c>
      <c r="F32" s="44">
        <f>IF(AND('ISO 1999'!$D$8&gt;0.5,OR('ISO 1999'!$D$8=0.55,'ISO 1999'!$D$8=0.6,'ISO 1999'!$D$8=0.65,'ISO 1999'!$D$8=0.7,'ISO 1999'!$D$8=0.75,'ISO 1999'!$D$8=0.8,'ISO 1999'!$D$8=0.85,'ISO 1999'!$D$8=0.9,'ISO 1999'!$D$8=0.95)),M32-$D$38*(G32+0.356*M32),0)</f>
        <v>0</v>
      </c>
      <c r="G32" s="44">
        <f>IF('ISO 1999'!$D$4="männlich",H32,IF('ISO 1999'!$D$4="weiblich",I32,H32))</f>
        <v>5.78</v>
      </c>
      <c r="H32" s="44">
        <v>5.78</v>
      </c>
      <c r="I32" s="44">
        <v>5.34</v>
      </c>
      <c r="J32" s="44">
        <f>IF('ISO 1999'!$D$4="männlich",K32,IF('ISO 1999'!$D$4="weiblich",L32,K32))</f>
        <v>7.23</v>
      </c>
      <c r="K32" s="44">
        <v>7.23</v>
      </c>
      <c r="L32" s="44">
        <v>6.67</v>
      </c>
      <c r="M32" s="44">
        <f>IF('ISO 1999'!$D$4="männlich",N32*('ISO 1999'!$D$5-18)^2,IF('ISO 1999'!$D$4="weiblich",O32*('ISO 1999'!$D$5-18)^2,N32*('ISO 1999'!$D$5-18)^2))</f>
        <v>12.348000000000001</v>
      </c>
      <c r="N32" s="44">
        <v>7.0000000000000001E-3</v>
      </c>
      <c r="O32" s="45">
        <v>6.0000000000000001E-3</v>
      </c>
    </row>
    <row r="33" spans="1:15">
      <c r="A33" s="43">
        <v>3000</v>
      </c>
      <c r="B33" s="44"/>
      <c r="C33" s="44">
        <f>IF(AND('ISO 1999'!$F$4="o.k.",'ISO 1999'!$F$5="o.k.",'ISO 1999'!$F$6="o.k.",'ISO 1999'!$F$7="o.k.",'ISO 1999'!$F$8="o.k."),SUM(D33:F33),0)</f>
        <v>47.933959150000007</v>
      </c>
      <c r="D33" s="44">
        <f>IF(AND('ISO 1999'!$D$8&lt;0.5,OR('ISO 1999'!$D$8=0.45,'ISO 1999'!$D$8=0.4,'ISO 1999'!$D$8=0.35,'ISO 1999'!$D$8=0.3,'ISO 1999'!$D$8=0.25,'ISO 1999'!$D$8=0.2,'ISO 1999'!$D$8=0.15,'ISO 1999'!$D$8=0.1,'ISO 1999'!$D$8=0.05)),M33+$D$38*(J33+0.445*M33),0)</f>
        <v>47.933959150000007</v>
      </c>
      <c r="E33" s="44">
        <f>IF('ISO 1999'!$D$8=0.5,M33,0)</f>
        <v>0</v>
      </c>
      <c r="F33" s="44">
        <f>IF(AND('ISO 1999'!$D$8&gt;0.5,OR('ISO 1999'!$D$8=0.55,'ISO 1999'!$D$8=0.6,'ISO 1999'!$D$8=0.65,'ISO 1999'!$D$8=0.7,'ISO 1999'!$D$8=0.75,'ISO 1999'!$D$8=0.8,'ISO 1999'!$D$8=0.85,'ISO 1999'!$D$8=0.9,'ISO 1999'!$D$8=0.95)),M33-$D$38*(G33+0.356*M33),0)</f>
        <v>0</v>
      </c>
      <c r="G33" s="44">
        <f>IF('ISO 1999'!$D$4="männlich",H33,IF('ISO 1999'!$D$4="weiblich",I33,H33))</f>
        <v>6.23</v>
      </c>
      <c r="H33" s="44">
        <v>6.23</v>
      </c>
      <c r="I33" s="44">
        <v>5.78</v>
      </c>
      <c r="J33" s="44">
        <f>IF('ISO 1999'!$D$4="männlich",K33,IF('ISO 1999'!$D$4="weiblich",L33,K33))</f>
        <v>7.78</v>
      </c>
      <c r="K33" s="44">
        <v>7.78</v>
      </c>
      <c r="L33" s="44">
        <v>7.23</v>
      </c>
      <c r="M33" s="44">
        <f>IF('ISO 1999'!$D$4="männlich",N33*('ISO 1999'!$D$5-18)^2,IF('ISO 1999'!$D$4="weiblich",O33*('ISO 1999'!$D$5-18)^2,N33*('ISO 1999'!$D$5-18)^2))</f>
        <v>20.286000000000001</v>
      </c>
      <c r="N33" s="44">
        <v>1.15E-2</v>
      </c>
      <c r="O33" s="45">
        <v>7.4999999999999997E-3</v>
      </c>
    </row>
    <row r="34" spans="1:15">
      <c r="A34" s="43">
        <v>4000</v>
      </c>
      <c r="B34" s="44"/>
      <c r="C34" s="44">
        <f>IF(AND('ISO 1999'!$F$4="o.k.",'ISO 1999'!$F$5="o.k.",'ISO 1999'!$F$6="o.k.",'ISO 1999'!$F$7="o.k.",'ISO 1999'!$F$8="o.k."),SUM(D34:F34),0)</f>
        <v>62.603973600000003</v>
      </c>
      <c r="D34" s="44">
        <f>IF(AND('ISO 1999'!$D$8&lt;0.5,OR('ISO 1999'!$D$8=0.45,'ISO 1999'!$D$8=0.4,'ISO 1999'!$D$8=0.35,'ISO 1999'!$D$8=0.3,'ISO 1999'!$D$8=0.25,'ISO 1999'!$D$8=0.2,'ISO 1999'!$D$8=0.15,'ISO 1999'!$D$8=0.1,'ISO 1999'!$D$8=0.05)),M34+$D$38*(J34+0.445*M34),0)</f>
        <v>62.603973600000003</v>
      </c>
      <c r="E34" s="44">
        <f>IF('ISO 1999'!$D$8=0.5,M34,0)</f>
        <v>0</v>
      </c>
      <c r="F34" s="44">
        <f>IF(AND('ISO 1999'!$D$8&gt;0.5,OR('ISO 1999'!$D$8=0.55,'ISO 1999'!$D$8=0.6,'ISO 1999'!$D$8=0.65,'ISO 1999'!$D$8=0.7,'ISO 1999'!$D$8=0.75,'ISO 1999'!$D$8=0.8,'ISO 1999'!$D$8=0.85,'ISO 1999'!$D$8=0.9,'ISO 1999'!$D$8=0.95)),M34-$D$38*(G34+0.356*M34),0)</f>
        <v>0</v>
      </c>
      <c r="G34" s="44">
        <f>IF('ISO 1999'!$D$4="männlich",H34,IF('ISO 1999'!$D$4="weiblich",I34,H34))</f>
        <v>6.67</v>
      </c>
      <c r="H34" s="44">
        <v>6.67</v>
      </c>
      <c r="I34" s="44">
        <v>6.23</v>
      </c>
      <c r="J34" s="44">
        <f>IF('ISO 1999'!$D$4="männlich",K34,IF('ISO 1999'!$D$4="weiblich",L34,K34))</f>
        <v>8.34</v>
      </c>
      <c r="K34" s="44">
        <v>8.34</v>
      </c>
      <c r="L34" s="44">
        <v>7.78</v>
      </c>
      <c r="M34" s="44">
        <f>IF('ISO 1999'!$D$4="männlich",N34*('ISO 1999'!$D$5-18)^2,IF('ISO 1999'!$D$4="weiblich",O34*('ISO 1999'!$D$5-18)^2,N34*('ISO 1999'!$D$5-18)^2))</f>
        <v>28.224</v>
      </c>
      <c r="N34" s="44">
        <v>1.6E-2</v>
      </c>
      <c r="O34" s="45">
        <v>8.9999999999999993E-3</v>
      </c>
    </row>
    <row r="35" spans="1:15">
      <c r="A35" s="43">
        <v>6000</v>
      </c>
      <c r="B35" s="44"/>
      <c r="C35" s="44">
        <f>IF(AND('ISO 1999'!$F$4="o.k.",'ISO 1999'!$F$5="o.k.",'ISO 1999'!$F$6="o.k.",'ISO 1999'!$F$7="o.k.",'ISO 1999'!$F$8="o.k."),SUM(D35:F35),0)</f>
        <v>70.5405078</v>
      </c>
      <c r="D35" s="44">
        <f>IF(AND('ISO 1999'!$D$8&lt;0.5,OR('ISO 1999'!$D$8=0.45,'ISO 1999'!$D$8=0.4,'ISO 1999'!$D$8=0.35,'ISO 1999'!$D$8=0.3,'ISO 1999'!$D$8=0.25,'ISO 1999'!$D$8=0.2,'ISO 1999'!$D$8=0.15,'ISO 1999'!$D$8=0.1,'ISO 1999'!$D$8=0.05)),M35+$D$38*(J35+0.445*M35),0)</f>
        <v>70.5405078</v>
      </c>
      <c r="E35" s="44">
        <f>IF('ISO 1999'!$D$8=0.5,M35,0)</f>
        <v>0</v>
      </c>
      <c r="F35" s="44">
        <f>IF(AND('ISO 1999'!$D$8&gt;0.5,OR('ISO 1999'!$D$8=0.55,'ISO 1999'!$D$8=0.6,'ISO 1999'!$D$8=0.65,'ISO 1999'!$D$8=0.7,'ISO 1999'!$D$8=0.75,'ISO 1999'!$D$8=0.8,'ISO 1999'!$D$8=0.85,'ISO 1999'!$D$8=0.9,'ISO 1999'!$D$8=0.95)),M35-$D$38*(G35+0.356*M35),0)</f>
        <v>0</v>
      </c>
      <c r="G35" s="44">
        <f>IF('ISO 1999'!$D$4="männlich",H35,IF('ISO 1999'!$D$4="weiblich",I35,H35))</f>
        <v>7.56</v>
      </c>
      <c r="H35" s="44">
        <v>7.56</v>
      </c>
      <c r="I35" s="44">
        <v>7.12</v>
      </c>
      <c r="J35" s="44">
        <f>IF('ISO 1999'!$D$4="männlich",K35,IF('ISO 1999'!$D$4="weiblich",L35,K35))</f>
        <v>9.4499999999999993</v>
      </c>
      <c r="K35" s="44">
        <v>9.4499999999999993</v>
      </c>
      <c r="L35" s="44">
        <v>8.9</v>
      </c>
      <c r="M35" s="44">
        <f>IF('ISO 1999'!$D$4="männlich",N35*('ISO 1999'!$D$5-18)^2,IF('ISO 1999'!$D$4="weiblich",O35*('ISO 1999'!$D$5-18)^2,N35*('ISO 1999'!$D$5-18)^2))</f>
        <v>31.751999999999999</v>
      </c>
      <c r="N35" s="44">
        <v>1.7999999999999999E-2</v>
      </c>
      <c r="O35" s="45">
        <v>1.2E-2</v>
      </c>
    </row>
    <row r="36" spans="1:15">
      <c r="A36" s="43">
        <v>8000</v>
      </c>
      <c r="B36" s="44"/>
      <c r="C36" s="44">
        <f>IF(AND('ISO 1999'!$F$4="o.k.",'ISO 1999'!$F$5="o.k.",'ISO 1999'!$F$6="o.k.",'ISO 1999'!$F$7="o.k.",'ISO 1999'!$F$8="o.k."),SUM(D36:F36),0)</f>
        <v>84.587626200000003</v>
      </c>
      <c r="D36" s="44">
        <f>IF(AND('ISO 1999'!$D$8&lt;0.5,OR('ISO 1999'!$D$8=0.45,'ISO 1999'!$D$8=0.4,'ISO 1999'!$D$8=0.35,'ISO 1999'!$D$8=0.3,'ISO 1999'!$D$8=0.25,'ISO 1999'!$D$8=0.2,'ISO 1999'!$D$8=0.15,'ISO 1999'!$D$8=0.1,'ISO 1999'!$D$8=0.05)),M36+$D$38*(J36+0.445*M36),0)</f>
        <v>84.587626200000003</v>
      </c>
      <c r="E36" s="44">
        <f>IF('ISO 1999'!$D$8=0.5,M36,0)</f>
        <v>0</v>
      </c>
      <c r="F36" s="44">
        <f>IF(AND('ISO 1999'!$D$8&gt;0.5,OR('ISO 1999'!$D$8=0.55,'ISO 1999'!$D$8=0.6,'ISO 1999'!$D$8=0.65,'ISO 1999'!$D$8=0.7,'ISO 1999'!$D$8=0.75,'ISO 1999'!$D$8=0.8,'ISO 1999'!$D$8=0.85,'ISO 1999'!$D$8=0.9,'ISO 1999'!$D$8=0.95)),M36-$D$38*(G36+0.356*M36),0)</f>
        <v>0</v>
      </c>
      <c r="G36" s="44">
        <f>IF('ISO 1999'!$D$4="männlich",H36,IF('ISO 1999'!$D$4="weiblich",I36,H36))</f>
        <v>8.4499999999999993</v>
      </c>
      <c r="H36" s="44">
        <v>8.4499999999999993</v>
      </c>
      <c r="I36" s="44">
        <v>8.4499999999999993</v>
      </c>
      <c r="J36" s="44">
        <f>IF('ISO 1999'!$D$4="männlich",K36,IF('ISO 1999'!$D$4="weiblich",L36,K36))</f>
        <v>10.56</v>
      </c>
      <c r="K36" s="44">
        <v>10.56</v>
      </c>
      <c r="L36" s="44">
        <v>10.56</v>
      </c>
      <c r="M36" s="44">
        <f>IF('ISO 1999'!$D$4="männlich",N36*('ISO 1999'!$D$5-18)^2,IF('ISO 1999'!$D$4="weiblich",O36*('ISO 1999'!$D$5-18)^2,N36*('ISO 1999'!$D$5-18)^2))</f>
        <v>38.808</v>
      </c>
      <c r="N36" s="44">
        <v>2.1999999999999999E-2</v>
      </c>
      <c r="O36" s="45">
        <v>1.4999999999999999E-2</v>
      </c>
    </row>
    <row r="37" spans="1:15">
      <c r="A37" s="43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5"/>
    </row>
    <row r="38" spans="1:15">
      <c r="A38" s="43" t="s">
        <v>14</v>
      </c>
      <c r="B38" s="44" t="s">
        <v>13</v>
      </c>
      <c r="C38" s="44" t="s">
        <v>15</v>
      </c>
      <c r="D38" s="44">
        <f>SUM(D39:D57)</f>
        <v>1.645</v>
      </c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5"/>
    </row>
    <row r="39" spans="1:15">
      <c r="A39" s="50">
        <v>0.05</v>
      </c>
      <c r="B39" s="44">
        <v>1.645</v>
      </c>
      <c r="C39" s="44"/>
      <c r="D39" s="44">
        <f>IF('ISO 1999'!$D$8=A39,B39,0)</f>
        <v>1.645</v>
      </c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5"/>
    </row>
    <row r="40" spans="1:15">
      <c r="A40" s="50">
        <v>0.1</v>
      </c>
      <c r="B40" s="44">
        <v>1.282</v>
      </c>
      <c r="C40" s="44"/>
      <c r="D40" s="44">
        <f>IF('ISO 1999'!$D$8=A40,B40,0)</f>
        <v>0</v>
      </c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5"/>
    </row>
    <row r="41" spans="1:15">
      <c r="A41" s="50">
        <v>0.15</v>
      </c>
      <c r="B41" s="44">
        <v>1.036</v>
      </c>
      <c r="C41" s="44"/>
      <c r="D41" s="44">
        <f>IF('ISO 1999'!$D$8=A41,B41,0)</f>
        <v>0</v>
      </c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5"/>
    </row>
    <row r="42" spans="1:15">
      <c r="A42" s="50">
        <v>0.2</v>
      </c>
      <c r="B42" s="44">
        <v>0.84199999999999997</v>
      </c>
      <c r="C42" s="44"/>
      <c r="D42" s="44">
        <f>IF('ISO 1999'!$D$8=A42,B42,0)</f>
        <v>0</v>
      </c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5"/>
    </row>
    <row r="43" spans="1:15">
      <c r="A43" s="50">
        <v>0.25</v>
      </c>
      <c r="B43" s="44">
        <v>0.67500000000000004</v>
      </c>
      <c r="C43" s="44"/>
      <c r="D43" s="44">
        <f>IF('ISO 1999'!$D$8=A43,B43,0)</f>
        <v>0</v>
      </c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5"/>
    </row>
    <row r="44" spans="1:15">
      <c r="A44" s="50">
        <v>0.3</v>
      </c>
      <c r="B44" s="44">
        <v>0.52400000000000002</v>
      </c>
      <c r="C44" s="44"/>
      <c r="D44" s="44">
        <f>IF('ISO 1999'!$D$8=A44,B44,0)</f>
        <v>0</v>
      </c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5"/>
    </row>
    <row r="45" spans="1:15">
      <c r="A45" s="50">
        <v>0.35</v>
      </c>
      <c r="B45" s="44">
        <v>0.38500000000000001</v>
      </c>
      <c r="C45" s="44"/>
      <c r="D45" s="44">
        <f>IF('ISO 1999'!$D$8=A45,B45,0)</f>
        <v>0</v>
      </c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5"/>
    </row>
    <row r="46" spans="1:15">
      <c r="A46" s="50">
        <v>0.4</v>
      </c>
      <c r="B46" s="44">
        <v>0.253</v>
      </c>
      <c r="C46" s="44"/>
      <c r="D46" s="44">
        <f>IF('ISO 1999'!$D$8=A46,B46,0)</f>
        <v>0</v>
      </c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5"/>
    </row>
    <row r="47" spans="1:15">
      <c r="A47" s="50">
        <v>0.45</v>
      </c>
      <c r="B47" s="44">
        <v>0.126</v>
      </c>
      <c r="C47" s="44"/>
      <c r="D47" s="44">
        <f>IF('ISO 1999'!$D$8=A47,B47,0)</f>
        <v>0</v>
      </c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5"/>
    </row>
    <row r="48" spans="1:15">
      <c r="A48" s="50">
        <v>0.5</v>
      </c>
      <c r="B48" s="44">
        <v>0</v>
      </c>
      <c r="C48" s="44"/>
      <c r="D48" s="44">
        <f>IF('ISO 1999'!$D$8=A48,B48,0)</f>
        <v>0</v>
      </c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5"/>
    </row>
    <row r="49" spans="1:15">
      <c r="A49" s="50">
        <v>0.55000000000000004</v>
      </c>
      <c r="B49" s="44">
        <v>0.126</v>
      </c>
      <c r="C49" s="44"/>
      <c r="D49" s="44">
        <f>IF('ISO 1999'!$D$8=A49,B49,0)</f>
        <v>0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5"/>
    </row>
    <row r="50" spans="1:15">
      <c r="A50" s="50">
        <v>0.6</v>
      </c>
      <c r="B50" s="44">
        <v>0.253</v>
      </c>
      <c r="C50" s="44"/>
      <c r="D50" s="44">
        <f>IF('ISO 1999'!$D$8=A50,B50,0)</f>
        <v>0</v>
      </c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</row>
    <row r="51" spans="1:15">
      <c r="A51" s="50">
        <v>0.65</v>
      </c>
      <c r="B51" s="44">
        <v>0.38500000000000001</v>
      </c>
      <c r="C51" s="44"/>
      <c r="D51" s="44">
        <f>IF('ISO 1999'!$D$8=A51,B51,0)</f>
        <v>0</v>
      </c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5"/>
    </row>
    <row r="52" spans="1:15">
      <c r="A52" s="50">
        <v>0.7</v>
      </c>
      <c r="B52" s="44">
        <v>0.52400000000000002</v>
      </c>
      <c r="C52" s="44"/>
      <c r="D52" s="44">
        <f>IF('ISO 1999'!$D$8=A52,B52,0)</f>
        <v>0</v>
      </c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5"/>
    </row>
    <row r="53" spans="1:15">
      <c r="A53" s="50">
        <v>0.75</v>
      </c>
      <c r="B53" s="44">
        <v>0.67500000000000004</v>
      </c>
      <c r="C53" s="44"/>
      <c r="D53" s="44">
        <f>IF('ISO 1999'!$D$8=A53,B53,0)</f>
        <v>0</v>
      </c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5"/>
    </row>
    <row r="54" spans="1:15">
      <c r="A54" s="50">
        <v>0.8</v>
      </c>
      <c r="B54" s="44">
        <v>0.84199999999999997</v>
      </c>
      <c r="C54" s="44"/>
      <c r="D54" s="44">
        <f>IF('ISO 1999'!$D$8=A54,B54,0)</f>
        <v>0</v>
      </c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5"/>
    </row>
    <row r="55" spans="1:15">
      <c r="A55" s="50">
        <v>0.85</v>
      </c>
      <c r="B55" s="44">
        <v>1.036</v>
      </c>
      <c r="C55" s="44"/>
      <c r="D55" s="44">
        <f>IF('ISO 1999'!$D$8=A55,B55,0)</f>
        <v>0</v>
      </c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5"/>
    </row>
    <row r="56" spans="1:15">
      <c r="A56" s="50">
        <v>0.9</v>
      </c>
      <c r="B56" s="44">
        <v>1.282</v>
      </c>
      <c r="C56" s="44"/>
      <c r="D56" s="44">
        <f>IF('ISO 1999'!$D$8=A56,B56,0)</f>
        <v>0</v>
      </c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5"/>
    </row>
    <row r="57" spans="1:15" ht="13.5" thickBot="1">
      <c r="A57" s="51">
        <v>0.95</v>
      </c>
      <c r="B57" s="48">
        <v>1.645</v>
      </c>
      <c r="C57" s="48"/>
      <c r="D57" s="48">
        <f>IF('ISO 1999'!$D$8=A57,B57,0)</f>
        <v>0</v>
      </c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9"/>
    </row>
    <row r="58" spans="1:15" ht="13.5" thickTop="1"/>
  </sheetData>
  <sheetProtection algorithmName="SHA-512" hashValue="awZR+moJAGJec24ieRMRWYBZwkA6ZGq4k+mh5UG6ye6tCaknnUBdsD4VlS9VePlVA4z3628EQqPgcvlR0QvKTw==" saltValue="+v17vejRlUEVAsrnPvFI3w==" spinCount="100000" sheet="1" selectLockedCells="1" selectUnlockedCells="1"/>
  <phoneticPr fontId="1" type="noConversion"/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T58"/>
  <sheetViews>
    <sheetView workbookViewId="0">
      <selection activeCell="J19" sqref="J19"/>
    </sheetView>
  </sheetViews>
  <sheetFormatPr baseColWidth="10" defaultRowHeight="12.75"/>
  <cols>
    <col min="1" max="15" width="11.42578125" style="2"/>
    <col min="16" max="16" width="13" style="2" customWidth="1"/>
    <col min="17" max="19" width="11.42578125" style="2"/>
    <col min="20" max="20" width="24.5703125" customWidth="1"/>
  </cols>
  <sheetData>
    <row r="1" spans="1:19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2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2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2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2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2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20" ht="13.5" thickBo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20" ht="13.5" thickTop="1">
      <c r="A24" s="40" t="s">
        <v>20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2"/>
    </row>
    <row r="25" spans="1:20">
      <c r="A25" s="43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5"/>
    </row>
    <row r="26" spans="1:20">
      <c r="A26" s="43" t="s">
        <v>6</v>
      </c>
      <c r="B26" s="44"/>
      <c r="C26" s="44"/>
      <c r="D26" s="44" t="s">
        <v>36</v>
      </c>
      <c r="E26" s="44" t="s">
        <v>28</v>
      </c>
      <c r="F26" s="44" t="s">
        <v>27</v>
      </c>
      <c r="G26" s="44" t="s">
        <v>26</v>
      </c>
      <c r="H26" s="44" t="s">
        <v>33</v>
      </c>
      <c r="I26" s="44" t="s">
        <v>34</v>
      </c>
      <c r="J26" s="44" t="s">
        <v>29</v>
      </c>
      <c r="K26" s="44" t="s">
        <v>30</v>
      </c>
      <c r="L26" s="44" t="s">
        <v>31</v>
      </c>
      <c r="M26" s="44" t="s">
        <v>32</v>
      </c>
      <c r="N26" s="44" t="s">
        <v>35</v>
      </c>
      <c r="O26" s="44" t="s">
        <v>24</v>
      </c>
      <c r="P26" s="44" t="s">
        <v>25</v>
      </c>
      <c r="Q26" s="44" t="s">
        <v>21</v>
      </c>
      <c r="R26" s="44" t="s">
        <v>22</v>
      </c>
      <c r="S26" s="45" t="s">
        <v>23</v>
      </c>
    </row>
    <row r="27" spans="1:20">
      <c r="A27" s="43">
        <v>125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5"/>
    </row>
    <row r="28" spans="1:20">
      <c r="A28" s="43">
        <v>250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5"/>
    </row>
    <row r="29" spans="1:20">
      <c r="A29" s="43">
        <v>500</v>
      </c>
      <c r="B29" s="44"/>
      <c r="C29" s="44"/>
      <c r="D29" s="44">
        <f>IF(AND('ISO 1999'!$D$6&lt;=40,'ISO 1999'!$D$6&gt;=1,('ISO 1999'!$D$5-'ISO 1999'!$D$6)&gt;=18,'ISO 1999'!$F$4="o.k.",'ISO 1999'!$F$5="o.k.",'ISO 1999'!$F$6="o.k.",'ISO 1999'!$F$7="o.k.",'ISO 1999'!$F$8="o.k."),SUM(E29:G29),0)</f>
        <v>0</v>
      </c>
      <c r="E29" s="44">
        <f>IF(AND('ISO 1999'!$D$8&gt;0.5,OR('ISO 1999'!$D$8=0.55,'ISO 1999'!$D$8=0.6,'ISO 1999'!$D$8=0.65,'ISO 1999'!$D$8=0.7,'ISO 1999'!$D$8=0.75,'ISO 1999'!$D$8=0.8,'ISO 1999'!$D$8=0.85,'ISO 1999'!$D$8=0.9,'ISO 1999'!$D$8=0.95,)),N29-$D$38*I29,0)</f>
        <v>0</v>
      </c>
      <c r="F29" s="44">
        <f>IF('ISO 1999'!$D$8=0.5,N29,0)</f>
        <v>0</v>
      </c>
      <c r="G29" s="44">
        <f>IF(AND('ISO 1999'!$D$8&lt;0.5,OR('ISO 1999'!$D$8=0.05,'ISO 1999'!$D$8=0.1,'ISO 1999'!$D$8=0.15,'ISO 1999'!$D$8=0.2,'ISO 1999'!$D$8=0.25,'ISO 1999'!$D$8=0.3,'ISO 1999'!$D$8=0.35,'ISO 1999'!$D$8=0.4,'ISO 1999'!$D$8=0.45,)),N29+$D$38*H29,0)</f>
        <v>0</v>
      </c>
      <c r="H29" s="46">
        <f>IF(AND('ISO 1999'!$D$7&gt;75,'ISO 1999'!$D$7&lt;=100,'ISO 1999'!$D$7&gt;S29),(J29+K29*LOG('ISO 1999'!$D$6,10))*(('ISO 1999'!$D$7-S29)^2),0)</f>
        <v>0</v>
      </c>
      <c r="I29" s="46">
        <f>IF(AND('ISO 1999'!$D$7&gt;75,'ISO 1999'!$D$7&lt;=100,'ISO 1999'!$D$7&gt;S29),(L29+M29*LOG('ISO 1999'!$D$6,10))*(('ISO 1999'!$D$7-S29)^2),0)</f>
        <v>0</v>
      </c>
      <c r="J29" s="44">
        <v>4.3999999999999997E-2</v>
      </c>
      <c r="K29" s="44">
        <v>1.6E-2</v>
      </c>
      <c r="L29" s="44">
        <v>3.3000000000000002E-2</v>
      </c>
      <c r="M29" s="44">
        <v>2E-3</v>
      </c>
      <c r="N29" s="44">
        <f>SUM(O29:P29)</f>
        <v>0</v>
      </c>
      <c r="O29" s="44">
        <f>IF(AND('ISO 1999'!$D$6&lt;10,'ISO 1999'!$D$6&gt;=1,'ISO 1999'!$D$7&gt;S29),(LOG('ISO 1999'!$D$6+1,10)/LOG(11,10)*(Q29+R29*LOG(10,10))*(('ISO 1999'!$D$7-S29)^2)),0)</f>
        <v>0</v>
      </c>
      <c r="P29" s="44">
        <f>IF(AND('ISO 1999'!$D$6&gt;=10,'ISO 1999'!$D$6&lt;=40,'ISO 1999'!$D$7&gt;S29,'ISO 1999'!$D$7&lt;=100),((Q29+R29*LOG('ISO 1999'!$D$6,10))*(('ISO 1999'!$D$7-S29)^2)),0)</f>
        <v>0</v>
      </c>
      <c r="Q29" s="44">
        <v>-3.3000000000000002E-2</v>
      </c>
      <c r="R29" s="44">
        <v>0.11</v>
      </c>
      <c r="S29" s="45">
        <v>93</v>
      </c>
    </row>
    <row r="30" spans="1:20">
      <c r="A30" s="43">
        <v>1000</v>
      </c>
      <c r="B30" s="44"/>
      <c r="C30" s="44"/>
      <c r="D30" s="44">
        <f>IF(AND('ISO 1999'!$D$6&lt;=40,'ISO 1999'!$D$6&gt;=1,('ISO 1999'!$D$5-'ISO 1999'!$D$6)&gt;=18,'ISO 1999'!$F$4="o.k.",'ISO 1999'!$F$5="o.k.",'ISO 1999'!$F$6="o.k.",'ISO 1999'!$F$7="o.k.",'ISO 1999'!$F$8="o.k."),SUM(E30:G30),0)</f>
        <v>5.0643241315894393E-2</v>
      </c>
      <c r="E30" s="44">
        <f>IF(AND('ISO 1999'!$D$8&gt;0.5,OR('ISO 1999'!$D$8=0.55,'ISO 1999'!$D$8=0.6,'ISO 1999'!$D$8=0.65,'ISO 1999'!$D$8=0.7,'ISO 1999'!$D$8=0.75,'ISO 1999'!$D$8=0.8,'ISO 1999'!$D$8=0.85,'ISO 1999'!$D$8=0.9,'ISO 1999'!$D$8=0.95,)),N30-$D$38*I30,0)</f>
        <v>0</v>
      </c>
      <c r="F30" s="44">
        <f>IF('ISO 1999'!$D$8=0.5,N30,0)</f>
        <v>0</v>
      </c>
      <c r="G30" s="44">
        <f>IF(AND('ISO 1999'!$D$8&lt;0.5,OR('ISO 1999'!$D$8=0.05,'ISO 1999'!$D$8=0.1,'ISO 1999'!$D$8=0.15,'ISO 1999'!$D$8=0.2,'ISO 1999'!$D$8=0.25,'ISO 1999'!$D$8=0.3,'ISO 1999'!$D$8=0.35,'ISO 1999'!$D$8=0.4,'ISO 1999'!$D$8=0.45,)),N30+$D$38*H30,0)</f>
        <v>5.0643241315894393E-2</v>
      </c>
      <c r="H30" s="46">
        <f>IF(AND('ISO 1999'!$D$7&gt;75,'ISO 1999'!$D$7&lt;=100,'ISO 1999'!$D$7&gt;S30),(J30+K30*LOG('ISO 1999'!$D$6,10))*(('ISO 1999'!$D$7-S30)^2),0)</f>
        <v>2.1999999999999999E-2</v>
      </c>
      <c r="I30" s="46">
        <f>IF(AND('ISO 1999'!$D$7&gt;75,'ISO 1999'!$D$7&lt;=100,'ISO 1999'!$D$7&gt;S30),(L30+M30*LOG('ISO 1999'!$D$6,10))*(('ISO 1999'!$D$7-S30)^2),0)</f>
        <v>0.02</v>
      </c>
      <c r="J30" s="44">
        <v>2.1999999999999999E-2</v>
      </c>
      <c r="K30" s="44">
        <v>1.6E-2</v>
      </c>
      <c r="L30" s="44">
        <v>0.02</v>
      </c>
      <c r="M30" s="44">
        <v>0</v>
      </c>
      <c r="N30" s="44">
        <f t="shared" ref="N30:N35" si="0">SUM(O30:P30)</f>
        <v>1.4453241315894393E-2</v>
      </c>
      <c r="O30" s="44">
        <f>IF(AND('ISO 1999'!$D$6&lt;10,'ISO 1999'!$D$6&gt;=1,'ISO 1999'!$D$7&gt;S30),(LOG('ISO 1999'!$D$6+1,10)/LOG(11,10)*(Q30+R30*LOG(10,10))*(('ISO 1999'!$D$7-S30)^2)),0)</f>
        <v>1.4453241315894393E-2</v>
      </c>
      <c r="P30" s="44">
        <f>IF(AND('ISO 1999'!$D$6&gt;=10,'ISO 1999'!$D$6&lt;=40,'ISO 1999'!$D$7&gt;S30,'ISO 1999'!$D$7&lt;=100),((Q30+R30*LOG('ISO 1999'!$D$6,10))*(('ISO 1999'!$D$7-S30)^2)),0)</f>
        <v>0</v>
      </c>
      <c r="Q30" s="44">
        <v>-0.02</v>
      </c>
      <c r="R30" s="44">
        <v>7.0000000000000007E-2</v>
      </c>
      <c r="S30" s="45">
        <v>89</v>
      </c>
    </row>
    <row r="31" spans="1:20">
      <c r="A31" s="43">
        <v>1500</v>
      </c>
      <c r="B31" s="44"/>
      <c r="C31" s="44"/>
      <c r="D31" s="44"/>
      <c r="E31" s="44"/>
      <c r="F31" s="44"/>
      <c r="G31" s="44"/>
      <c r="H31" s="46"/>
      <c r="I31" s="46"/>
      <c r="J31" s="44"/>
      <c r="K31" s="44"/>
      <c r="L31" s="44"/>
      <c r="M31" s="44"/>
      <c r="N31" s="44"/>
      <c r="O31" s="44"/>
      <c r="P31" s="44"/>
      <c r="Q31" s="44"/>
      <c r="R31" s="44"/>
      <c r="S31" s="45"/>
      <c r="T31" s="39"/>
    </row>
    <row r="32" spans="1:20">
      <c r="A32" s="43">
        <v>2000</v>
      </c>
      <c r="B32" s="44"/>
      <c r="C32" s="44"/>
      <c r="D32" s="44">
        <f>IF(AND('ISO 1999'!$D$6&lt;=40,'ISO 1999'!$D$6&gt;=1,('ISO 1999'!$D$5-'ISO 1999'!$D$6)&gt;=18,'ISO 1999'!$F$4="o.k.",'ISO 1999'!$F$5="o.k.",'ISO 1999'!$F$6="o.k.",'ISO 1999'!$F$7="o.k.",'ISO 1999'!$F$8="o.k."),SUM(E32:G32),0)</f>
        <v>5.7065361352675641</v>
      </c>
      <c r="E32" s="44">
        <f>IF(AND('ISO 1999'!$D$8&gt;0.5,OR('ISO 1999'!$D$8=0.55,'ISO 1999'!$D$8=0.6,'ISO 1999'!$D$8=0.65,'ISO 1999'!$D$8=0.7,'ISO 1999'!$D$8=0.75,'ISO 1999'!$D$8=0.8,'ISO 1999'!$D$8=0.85,'ISO 1999'!$D$8=0.9,'ISO 1999'!$D$8=0.95,)),N32-$D$38*I32,0)</f>
        <v>0</v>
      </c>
      <c r="F32" s="44">
        <f>IF('ISO 1999'!$D$8=0.5,N32,0)</f>
        <v>0</v>
      </c>
      <c r="G32" s="44">
        <f>IF(AND('ISO 1999'!$D$8&lt;0.5,OR('ISO 1999'!$D$8=0.05,'ISO 1999'!$D$8=0.1,'ISO 1999'!$D$8=0.15,'ISO 1999'!$D$8=0.2,'ISO 1999'!$D$8=0.25,'ISO 1999'!$D$8=0.3,'ISO 1999'!$D$8=0.35,'ISO 1999'!$D$8=0.4,'ISO 1999'!$D$8=0.45,)),N32+$D$38*H32,0)</f>
        <v>5.7065361352675641</v>
      </c>
      <c r="H32" s="46">
        <f>IF(AND('ISO 1999'!$D$7&gt;75,'ISO 1999'!$D$7&lt;=100,'ISO 1999'!$D$7&gt;S32),(J32+K32*LOG('ISO 1999'!$D$6,10))*(('ISO 1999'!$D$7-S32)^2),0)</f>
        <v>3.1</v>
      </c>
      <c r="I32" s="46">
        <f>IF(AND('ISO 1999'!$D$7&gt;75,'ISO 1999'!$D$7&lt;=100,'ISO 1999'!$D$7&gt;S32),(L32+M32*LOG('ISO 1999'!$D$6,10))*(('ISO 1999'!$D$7-S32)^2),0)</f>
        <v>1.6</v>
      </c>
      <c r="J32" s="44">
        <v>3.1E-2</v>
      </c>
      <c r="K32" s="44">
        <v>-2E-3</v>
      </c>
      <c r="L32" s="44">
        <v>1.6E-2</v>
      </c>
      <c r="M32" s="44">
        <v>0</v>
      </c>
      <c r="N32" s="44">
        <f t="shared" si="0"/>
        <v>0.6070361352675645</v>
      </c>
      <c r="O32" s="44">
        <f>IF(AND('ISO 1999'!$D$6&lt;10,'ISO 1999'!$D$6&gt;=1,'ISO 1999'!$D$7&gt;S32),(LOG('ISO 1999'!$D$6+1,10)/LOG(11,10)*(Q32+R32*LOG(10,10))*(('ISO 1999'!$D$7-S32)^2)),0)</f>
        <v>0.6070361352675645</v>
      </c>
      <c r="P32" s="44">
        <f>IF(AND('ISO 1999'!$D$6&gt;=10,'ISO 1999'!$D$6&lt;=40,'ISO 1999'!$D$7&gt;S32,'ISO 1999'!$D$7&lt;=100),((Q32+R32*LOG('ISO 1999'!$D$6,10))*(('ISO 1999'!$D$7-S32)^2)),0)</f>
        <v>0</v>
      </c>
      <c r="Q32" s="44">
        <v>-4.4999999999999998E-2</v>
      </c>
      <c r="R32" s="44">
        <v>6.6000000000000003E-2</v>
      </c>
      <c r="S32" s="45">
        <v>80</v>
      </c>
    </row>
    <row r="33" spans="1:19">
      <c r="A33" s="43">
        <v>3000</v>
      </c>
      <c r="B33" s="44"/>
      <c r="C33" s="44"/>
      <c r="D33" s="44">
        <f>IF(AND('ISO 1999'!$D$6&lt;=40,'ISO 1999'!$D$6&gt;=1,('ISO 1999'!$D$5-'ISO 1999'!$D$6)&gt;=18,'ISO 1999'!$F$4="o.k.",'ISO 1999'!$F$5="o.k.",'ISO 1999'!$F$6="o.k.",'ISO 1999'!$F$7="o.k.",'ISO 1999'!$F$8="o.k."),SUM(E33:G33),0)</f>
        <v>4.339780826738429</v>
      </c>
      <c r="E33" s="44">
        <f>IF(AND('ISO 1999'!$D$8&gt;0.5,OR('ISO 1999'!$D$8=0.55,'ISO 1999'!$D$8=0.6,'ISO 1999'!$D$8=0.65,'ISO 1999'!$D$8=0.7,'ISO 1999'!$D$8=0.75,'ISO 1999'!$D$8=0.8,'ISO 1999'!$D$8=0.85,'ISO 1999'!$D$8=0.9,'ISO 1999'!$D$8=0.95,)),N33-$D$38*I33,0)</f>
        <v>0</v>
      </c>
      <c r="F33" s="44">
        <f>IF('ISO 1999'!$D$8=0.5,N33,0)</f>
        <v>0</v>
      </c>
      <c r="G33" s="44">
        <f>IF(AND('ISO 1999'!$D$8&lt;0.5,OR('ISO 1999'!$D$8=0.05,'ISO 1999'!$D$8=0.1,'ISO 1999'!$D$8=0.15,'ISO 1999'!$D$8=0.2,'ISO 1999'!$D$8=0.25,'ISO 1999'!$D$8=0.3,'ISO 1999'!$D$8=0.35,'ISO 1999'!$D$8=0.4,'ISO 1999'!$D$8=0.45,)),N33+$D$38*H33,0)</f>
        <v>4.339780826738429</v>
      </c>
      <c r="H33" s="46">
        <f>IF(AND('ISO 1999'!$D$7&gt;75,'ISO 1999'!$D$7&lt;=100,'ISO 1999'!$D$7&gt;S33),(J33+K33*LOG('ISO 1999'!$D$6,10))*(('ISO 1999'!$D$7-S33)^2),0)</f>
        <v>1.1830000000000001</v>
      </c>
      <c r="I33" s="46">
        <f>IF(AND('ISO 1999'!$D$7&gt;75,'ISO 1999'!$D$7&lt;=100,'ISO 1999'!$D$7&gt;S33),(L33+M33*LOG('ISO 1999'!$D$6,10))*(('ISO 1999'!$D$7-S33)^2),0)</f>
        <v>4.9010000000000007</v>
      </c>
      <c r="J33" s="44">
        <v>7.0000000000000001E-3</v>
      </c>
      <c r="K33" s="44">
        <v>1.6E-2</v>
      </c>
      <c r="L33" s="44">
        <v>2.9000000000000001E-2</v>
      </c>
      <c r="M33" s="44">
        <v>-0.01</v>
      </c>
      <c r="N33" s="44">
        <f t="shared" si="0"/>
        <v>2.3937458267384288</v>
      </c>
      <c r="O33" s="44">
        <f>IF(AND('ISO 1999'!$D$6&lt;10,'ISO 1999'!$D$6&gt;=1,'ISO 1999'!$D$7&gt;S33),(LOG('ISO 1999'!$D$6+1,10)/LOG(11,10)*(Q33+R33*LOG(10,10))*(('ISO 1999'!$D$7-S33)^2)),0)</f>
        <v>2.3937458267384288</v>
      </c>
      <c r="P33" s="44">
        <f>IF(AND('ISO 1999'!$D$6&gt;=10,'ISO 1999'!$D$6&lt;=40,'ISO 1999'!$D$7&gt;S33,'ISO 1999'!$D$7&lt;=100),((Q33+R33*LOG('ISO 1999'!$D$6,10))*(('ISO 1999'!$D$7-S33)^2)),0)</f>
        <v>0</v>
      </c>
      <c r="Q33" s="44">
        <v>1.2E-2</v>
      </c>
      <c r="R33" s="44">
        <v>3.6999999999999998E-2</v>
      </c>
      <c r="S33" s="45">
        <v>77</v>
      </c>
    </row>
    <row r="34" spans="1:19">
      <c r="A34" s="43">
        <v>4000</v>
      </c>
      <c r="B34" s="44"/>
      <c r="C34" s="44"/>
      <c r="D34" s="44">
        <f>IF(AND('ISO 1999'!$D$6&lt;=40,'ISO 1999'!$D$6&gt;=1,('ISO 1999'!$D$5-'ISO 1999'!$D$6)&gt;=18,'ISO 1999'!$F$4="o.k.",'ISO 1999'!$F$5="o.k.",'ISO 1999'!$F$6="o.k.",'ISO 1999'!$F$7="o.k.",'ISO 1999'!$F$8="o.k."),SUM(E34:G34),0)</f>
        <v>5.1026042960762386</v>
      </c>
      <c r="E34" s="44">
        <f>IF(AND('ISO 1999'!$D$8&gt;0.5,OR('ISO 1999'!$D$8=0.55,'ISO 1999'!$D$8=0.6,'ISO 1999'!$D$8=0.65,'ISO 1999'!$D$8=0.7,'ISO 1999'!$D$8=0.75,'ISO 1999'!$D$8=0.8,'ISO 1999'!$D$8=0.85,'ISO 1999'!$D$8=0.9,'ISO 1999'!$D$8=0.95,)),N34-$D$38*I34,0)</f>
        <v>0</v>
      </c>
      <c r="F34" s="44">
        <f>IF('ISO 1999'!$D$8=0.5,N34,0)</f>
        <v>0</v>
      </c>
      <c r="G34" s="44">
        <f>IF(AND('ISO 1999'!$D$8&lt;0.5,OR('ISO 1999'!$D$8=0.05,'ISO 1999'!$D$8=0.1,'ISO 1999'!$D$8=0.15,'ISO 1999'!$D$8=0.2,'ISO 1999'!$D$8=0.25,'ISO 1999'!$D$8=0.3,'ISO 1999'!$D$8=0.35,'ISO 1999'!$D$8=0.4,'ISO 1999'!$D$8=0.45,)),N34+$D$38*H34,0)</f>
        <v>5.1026042960762386</v>
      </c>
      <c r="H34" s="46">
        <f>IF(AND('ISO 1999'!$D$7&gt;75,'ISO 1999'!$D$7&lt;=100,'ISO 1999'!$D$7&gt;S34),(J34+K34*LOG('ISO 1999'!$D$6,10))*(('ISO 1999'!$D$7-S34)^2),0)</f>
        <v>1.125</v>
      </c>
      <c r="I34" s="46">
        <f>IF(AND('ISO 1999'!$D$7&gt;75,'ISO 1999'!$D$7&lt;=100,'ISO 1999'!$D$7&gt;S34),(L34+M34*LOG('ISO 1999'!$D$6,10))*(('ISO 1999'!$D$7-S34)^2),0)</f>
        <v>3.6</v>
      </c>
      <c r="J34" s="44">
        <v>5.0000000000000001E-3</v>
      </c>
      <c r="K34" s="44">
        <v>8.9999999999999993E-3</v>
      </c>
      <c r="L34" s="44">
        <v>1.6E-2</v>
      </c>
      <c r="M34" s="44">
        <v>-2E-3</v>
      </c>
      <c r="N34" s="44">
        <f t="shared" si="0"/>
        <v>3.2519792960762381</v>
      </c>
      <c r="O34" s="44">
        <f>IF(AND('ISO 1999'!$D$6&lt;10,'ISO 1999'!$D$6&gt;=1,'ISO 1999'!$D$7&gt;S34),(LOG('ISO 1999'!$D$6+1,10)/LOG(11,10)*(Q34+R34*LOG(10,10))*(('ISO 1999'!$D$7-S34)^2)),0)</f>
        <v>3.2519792960762381</v>
      </c>
      <c r="P34" s="44">
        <f>IF(AND('ISO 1999'!$D$6&gt;=10,'ISO 1999'!$D$6&lt;=40,'ISO 1999'!$D$7&gt;S34,'ISO 1999'!$D$7&lt;=100),((Q34+R34*LOG('ISO 1999'!$D$6,10))*(('ISO 1999'!$D$7-S34)^2)),0)</f>
        <v>0</v>
      </c>
      <c r="Q34" s="44">
        <v>2.5000000000000001E-2</v>
      </c>
      <c r="R34" s="44">
        <v>2.5000000000000001E-2</v>
      </c>
      <c r="S34" s="45">
        <v>75</v>
      </c>
    </row>
    <row r="35" spans="1:19">
      <c r="A35" s="43">
        <v>6000</v>
      </c>
      <c r="B35" s="44"/>
      <c r="C35" s="44"/>
      <c r="D35" s="44">
        <f>IF(AND('ISO 1999'!$D$6&lt;=40,'ISO 1999'!$D$6&gt;=1,('ISO 1999'!$D$5-'ISO 1999'!$D$6)&gt;=18,'ISO 1999'!$F$4="o.k.",'ISO 1999'!$F$5="o.k.",'ISO 1999'!$F$6="o.k.",'ISO 1999'!$F$7="o.k.",'ISO 1999'!$F$8="o.k."),SUM(E35:G35),0)</f>
        <v>5.7146990928520909</v>
      </c>
      <c r="E35" s="44">
        <f>IF(AND('ISO 1999'!$D$8&gt;0.5,OR('ISO 1999'!$D$8=0.55,'ISO 1999'!$D$8=0.6,'ISO 1999'!$D$8=0.65,'ISO 1999'!$D$8=0.7,'ISO 1999'!$D$8=0.75,'ISO 1999'!$D$8=0.8,'ISO 1999'!$D$8=0.85,'ISO 1999'!$D$8=0.9,'ISO 1999'!$D$8=0.95,)),N35-$D$38*I35,0)</f>
        <v>0</v>
      </c>
      <c r="F35" s="44">
        <f>IF('ISO 1999'!$D$8=0.5,N35,0)</f>
        <v>0</v>
      </c>
      <c r="G35" s="44">
        <f>IF(AND('ISO 1999'!$D$8&lt;0.5,OR('ISO 1999'!$D$8=0.05,'ISO 1999'!$D$8=0.1,'ISO 1999'!$D$8=0.15,'ISO 1999'!$D$8=0.2,'ISO 1999'!$D$8=0.25,'ISO 1999'!$D$8=0.3,'ISO 1999'!$D$8=0.35,'ISO 1999'!$D$8=0.4,'ISO 1999'!$D$8=0.45,)),N35+$D$38*H35,0)</f>
        <v>5.7146990928520909</v>
      </c>
      <c r="H35" s="46">
        <f>IF(AND('ISO 1999'!$D$7&gt;75,'ISO 1999'!$D$7&lt;=100,'ISO 1999'!$D$7&gt;S35),(J35+K35*LOG('ISO 1999'!$D$6,10))*(('ISO 1999'!$D$7-S35)^2),0)</f>
        <v>2.1970000000000001</v>
      </c>
      <c r="I35" s="46">
        <f>IF(AND('ISO 1999'!$D$7&gt;75,'ISO 1999'!$D$7&lt;=100,'ISO 1999'!$D$7&gt;S35),(L35+M35*LOG('ISO 1999'!$D$6,10))*(('ISO 1999'!$D$7-S35)^2),0)</f>
        <v>4.7320000000000002</v>
      </c>
      <c r="J35" s="44">
        <v>1.2999999999999999E-2</v>
      </c>
      <c r="K35" s="44">
        <v>8.0000000000000002E-3</v>
      </c>
      <c r="L35" s="44">
        <v>2.8000000000000001E-2</v>
      </c>
      <c r="M35" s="44">
        <v>-7.0000000000000001E-3</v>
      </c>
      <c r="N35" s="44">
        <f t="shared" si="0"/>
        <v>2.1006340928520908</v>
      </c>
      <c r="O35" s="44">
        <f>IF(AND('ISO 1999'!$D$6&lt;10,'ISO 1999'!$D$6&gt;=1,'ISO 1999'!$D$7&gt;S35),(LOG('ISO 1999'!$D$6+1,10)/LOG(11,10)*(Q35+R35*LOG(10,10))*(('ISO 1999'!$D$7-S35)^2)),0)</f>
        <v>2.1006340928520908</v>
      </c>
      <c r="P35" s="44">
        <f>IF(AND('ISO 1999'!$D$6&gt;=10,'ISO 1999'!$D$6&lt;=40,'ISO 1999'!$D$7&gt;S35,'ISO 1999'!$D$7&lt;=100),((Q35+R35*LOG('ISO 1999'!$D$6,10))*(('ISO 1999'!$D$7-S35)^2)),0)</f>
        <v>0</v>
      </c>
      <c r="Q35" s="44">
        <v>1.9E-2</v>
      </c>
      <c r="R35" s="44">
        <v>2.4E-2</v>
      </c>
      <c r="S35" s="45">
        <v>77</v>
      </c>
    </row>
    <row r="36" spans="1:19">
      <c r="A36" s="43">
        <v>8000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5"/>
    </row>
    <row r="37" spans="1:19">
      <c r="A37" s="43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5"/>
    </row>
    <row r="38" spans="1:19">
      <c r="A38" s="43" t="s">
        <v>14</v>
      </c>
      <c r="B38" s="44" t="s">
        <v>13</v>
      </c>
      <c r="C38" s="44" t="s">
        <v>15</v>
      </c>
      <c r="D38" s="44">
        <f>SUM(D39:D57)</f>
        <v>1.645</v>
      </c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5"/>
    </row>
    <row r="39" spans="1:19">
      <c r="A39" s="43">
        <v>0.05</v>
      </c>
      <c r="B39" s="44">
        <v>1.645</v>
      </c>
      <c r="C39" s="44"/>
      <c r="D39" s="44">
        <f>IF('ISO 1999'!$D$8=A39,B39,0)</f>
        <v>1.645</v>
      </c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5"/>
    </row>
    <row r="40" spans="1:19">
      <c r="A40" s="43">
        <v>0.1</v>
      </c>
      <c r="B40" s="44">
        <v>1.282</v>
      </c>
      <c r="C40" s="44"/>
      <c r="D40" s="44">
        <f>IF('ISO 1999'!$D$8=A40,B40,0)</f>
        <v>0</v>
      </c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5"/>
    </row>
    <row r="41" spans="1:19">
      <c r="A41" s="43">
        <v>0.15</v>
      </c>
      <c r="B41" s="44">
        <v>1.036</v>
      </c>
      <c r="C41" s="44"/>
      <c r="D41" s="44">
        <f>IF('ISO 1999'!$D$8=A41,B41,0)</f>
        <v>0</v>
      </c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5"/>
    </row>
    <row r="42" spans="1:19">
      <c r="A42" s="43">
        <v>0.2</v>
      </c>
      <c r="B42" s="44">
        <v>0.84199999999999997</v>
      </c>
      <c r="C42" s="44"/>
      <c r="D42" s="44">
        <f>IF('ISO 1999'!$D$8=A42,B42,0)</f>
        <v>0</v>
      </c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5"/>
    </row>
    <row r="43" spans="1:19">
      <c r="A43" s="43">
        <v>0.25</v>
      </c>
      <c r="B43" s="44">
        <v>0.67500000000000004</v>
      </c>
      <c r="C43" s="44"/>
      <c r="D43" s="44">
        <f>IF('ISO 1999'!$D$8=A43,B43,0)</f>
        <v>0</v>
      </c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5"/>
    </row>
    <row r="44" spans="1:19">
      <c r="A44" s="43">
        <v>0.3</v>
      </c>
      <c r="B44" s="44">
        <v>0.52400000000000002</v>
      </c>
      <c r="C44" s="44"/>
      <c r="D44" s="44">
        <f>IF('ISO 1999'!$D$8=A44,B44,0)</f>
        <v>0</v>
      </c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5"/>
    </row>
    <row r="45" spans="1:19">
      <c r="A45" s="43">
        <v>0.35</v>
      </c>
      <c r="B45" s="44">
        <v>0.38500000000000001</v>
      </c>
      <c r="C45" s="44"/>
      <c r="D45" s="44">
        <f>IF('ISO 1999'!$D$8=A45,B45,0)</f>
        <v>0</v>
      </c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5"/>
    </row>
    <row r="46" spans="1:19">
      <c r="A46" s="43">
        <v>0.4</v>
      </c>
      <c r="B46" s="44">
        <v>0.253</v>
      </c>
      <c r="C46" s="44"/>
      <c r="D46" s="44">
        <f>IF('ISO 1999'!$D$8=A46,B46,0)</f>
        <v>0</v>
      </c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5"/>
    </row>
    <row r="47" spans="1:19">
      <c r="A47" s="43">
        <v>0.45</v>
      </c>
      <c r="B47" s="44">
        <v>0.126</v>
      </c>
      <c r="C47" s="44"/>
      <c r="D47" s="44">
        <f>IF('ISO 1999'!$D$8=A47,B47,0)</f>
        <v>0</v>
      </c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5"/>
    </row>
    <row r="48" spans="1:19">
      <c r="A48" s="43">
        <v>0.5</v>
      </c>
      <c r="B48" s="44">
        <v>0</v>
      </c>
      <c r="C48" s="44"/>
      <c r="D48" s="44">
        <f>IF('ISO 1999'!$D$8=A48,B48,0)</f>
        <v>0</v>
      </c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5"/>
    </row>
    <row r="49" spans="1:19">
      <c r="A49" s="43">
        <v>0.55000000000000004</v>
      </c>
      <c r="B49" s="44">
        <v>0.126</v>
      </c>
      <c r="C49" s="44"/>
      <c r="D49" s="44">
        <f>IF('ISO 1999'!$D$8=A49,B49,0)</f>
        <v>0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5"/>
    </row>
    <row r="50" spans="1:19">
      <c r="A50" s="43">
        <v>0.6</v>
      </c>
      <c r="B50" s="44">
        <v>0.253</v>
      </c>
      <c r="C50" s="44"/>
      <c r="D50" s="44">
        <f>IF('ISO 1999'!$D$8=A50,B50,0)</f>
        <v>0</v>
      </c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5"/>
    </row>
    <row r="51" spans="1:19">
      <c r="A51" s="43">
        <v>0.65</v>
      </c>
      <c r="B51" s="44">
        <v>0.38500000000000001</v>
      </c>
      <c r="C51" s="44"/>
      <c r="D51" s="44">
        <f>IF('ISO 1999'!$D$8=A51,B51,0)</f>
        <v>0</v>
      </c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5"/>
    </row>
    <row r="52" spans="1:19">
      <c r="A52" s="43">
        <v>0.7</v>
      </c>
      <c r="B52" s="44">
        <v>0.52400000000000002</v>
      </c>
      <c r="C52" s="44"/>
      <c r="D52" s="44">
        <f>IF('ISO 1999'!$D$8=A52,B52,0)</f>
        <v>0</v>
      </c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5"/>
    </row>
    <row r="53" spans="1:19">
      <c r="A53" s="43">
        <v>0.75</v>
      </c>
      <c r="B53" s="44">
        <v>0.67500000000000004</v>
      </c>
      <c r="C53" s="44"/>
      <c r="D53" s="44">
        <f>IF('ISO 1999'!$D$8=A53,B53,0)</f>
        <v>0</v>
      </c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>
      <c r="A54" s="43">
        <v>0.8</v>
      </c>
      <c r="B54" s="44">
        <v>0.84199999999999997</v>
      </c>
      <c r="C54" s="44"/>
      <c r="D54" s="44">
        <f>IF('ISO 1999'!$D$8=A54,B54,0)</f>
        <v>0</v>
      </c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5"/>
    </row>
    <row r="55" spans="1:19">
      <c r="A55" s="43">
        <v>0.85</v>
      </c>
      <c r="B55" s="44">
        <v>1.036</v>
      </c>
      <c r="C55" s="44"/>
      <c r="D55" s="44">
        <f>IF('ISO 1999'!$D$8=A55,B55,0)</f>
        <v>0</v>
      </c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5"/>
    </row>
    <row r="56" spans="1:19">
      <c r="A56" s="43">
        <v>0.9</v>
      </c>
      <c r="B56" s="44">
        <v>1.282</v>
      </c>
      <c r="C56" s="44"/>
      <c r="D56" s="44">
        <f>IF('ISO 1999'!$D$8=A56,B56,0)</f>
        <v>0</v>
      </c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5"/>
    </row>
    <row r="57" spans="1:19" ht="13.5" thickBot="1">
      <c r="A57" s="47">
        <v>0.95</v>
      </c>
      <c r="B57" s="48">
        <v>1.645</v>
      </c>
      <c r="C57" s="48"/>
      <c r="D57" s="48">
        <f>IF('ISO 1999'!$D$8=A57,B57,0)</f>
        <v>0</v>
      </c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9"/>
    </row>
    <row r="58" spans="1:19" ht="13.5" thickTop="1"/>
  </sheetData>
  <sheetProtection algorithmName="SHA-512" hashValue="3sCMpd4va0RWEiUCaXQ64cdj9qyiRvqkzHEj8eYK1YRmVop2w5Ubqu69iqcfqO+stZw7Hi4I72iB9EzTdSSbbg==" saltValue="puQjjiNxZCSawDGpN9PUNg==" spinCount="100000" sheet="1" selectLockedCells="1" selectUnlockedCells="1"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ISO 1999</vt:lpstr>
      <vt:lpstr>Erläuterungen zur ISO 1999</vt:lpstr>
      <vt:lpstr>H (alterbegleitend)</vt:lpstr>
      <vt:lpstr>N (durch Lärm)</vt:lpstr>
      <vt:lpstr>MF</vt:lpstr>
      <vt:lpstr>Perzentil</vt:lpstr>
    </vt:vector>
  </TitlesOfParts>
  <Company>HVBG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liedtke.martin</dc:creator>
  <cp:lastModifiedBy>suroh</cp:lastModifiedBy>
  <cp:lastPrinted>2022-08-16T15:15:25Z</cp:lastPrinted>
  <dcterms:created xsi:type="dcterms:W3CDTF">2006-02-01T15:45:19Z</dcterms:created>
  <dcterms:modified xsi:type="dcterms:W3CDTF">2025-07-23T09:53:35Z</dcterms:modified>
</cp:coreProperties>
</file>